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xl/charts/chart1.xml" ContentType="application/vnd.openxmlformats-officedocument.drawingml.char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465" windowWidth="25995" windowHeight="14685" tabRatio="882"/>
  </bookViews>
  <sheets>
    <sheet name="1-Préambule" sheetId="43" r:id="rId1"/>
    <sheet name="2-Conception de l'outil" sheetId="52" r:id="rId2"/>
    <sheet name="3-DONNEE DE BASE" sheetId="17" r:id="rId3"/>
    <sheet name="4-Résultat Disposition à payer " sheetId="59" r:id="rId4"/>
    <sheet name="5-Résultats Cout d'évitement " sheetId="49" r:id="rId5"/>
    <sheet name="6-Cout économique du projet" sheetId="3" r:id="rId6"/>
    <sheet name="7-Charges d'exp - économique" sheetId="50" r:id="rId7"/>
    <sheet name="8-Coefficient de conversion " sheetId="13" r:id="rId8"/>
    <sheet name="5-Cout  économique  charg d'exp" sheetId="4" state="hidden" r:id="rId9"/>
    <sheet name="-9-  Bénéfice cout  d'évitemen " sheetId="2" r:id="rId10"/>
    <sheet name="10-TRE et VAN - Cout d'évitemen" sheetId="7" r:id="rId11"/>
    <sheet name="11-Bénéfice  disposition à paye" sheetId="6" r:id="rId12"/>
    <sheet name="12-TRE et VAN Disposition à pay" sheetId="58" r:id="rId13"/>
  </sheets>
  <externalReferences>
    <externalReference r:id="rId14"/>
    <externalReference r:id="rId15"/>
    <externalReference r:id="rId16"/>
    <externalReference r:id="rId17"/>
  </externalReferences>
  <definedNames>
    <definedName name="_xlnm.Print_Area" localSheetId="2">'3-DONNEE DE BASE'!$B$2:$M$98</definedName>
    <definedName name="_xlnm.Print_Area" localSheetId="3">'4-Résultat Disposition à payer '!$C$3:$L$42</definedName>
    <definedName name="_xlnm.Print_Area" localSheetId="4">'5-Résultats Cout d''évitement '!$C$3:$L$44</definedName>
  </definedNames>
  <calcPr calcId="124519"/>
</workbook>
</file>

<file path=xl/calcChain.xml><?xml version="1.0" encoding="utf-8"?>
<calcChain xmlns="http://schemas.openxmlformats.org/spreadsheetml/2006/main">
  <c r="G22" i="49"/>
  <c r="G19"/>
  <c r="D42" i="2" l="1"/>
  <c r="D41"/>
  <c r="D40"/>
  <c r="D39"/>
  <c r="D38"/>
  <c r="D37"/>
  <c r="D36"/>
  <c r="D35"/>
  <c r="D34"/>
  <c r="D33"/>
  <c r="D32"/>
  <c r="D31"/>
  <c r="D30"/>
  <c r="D29"/>
  <c r="D28"/>
  <c r="D27"/>
  <c r="D26"/>
  <c r="D25"/>
  <c r="D24"/>
  <c r="D23"/>
  <c r="C42"/>
  <c r="C41"/>
  <c r="C40"/>
  <c r="C39"/>
  <c r="C38"/>
  <c r="C37"/>
  <c r="C36"/>
  <c r="C35"/>
  <c r="C34"/>
  <c r="C33"/>
  <c r="C32"/>
  <c r="C31"/>
  <c r="C30"/>
  <c r="C29"/>
  <c r="C28"/>
  <c r="C27"/>
  <c r="C26"/>
  <c r="C25"/>
  <c r="C24"/>
  <c r="C23"/>
  <c r="E11" i="17"/>
  <c r="G9" i="49" s="1"/>
  <c r="B24" i="2"/>
  <c r="B25" s="1"/>
  <c r="B26" s="1"/>
  <c r="B27" s="1"/>
  <c r="B28" s="1"/>
  <c r="B29" s="1"/>
  <c r="B30" s="1"/>
  <c r="B31" s="1"/>
  <c r="B32" s="1"/>
  <c r="B33" s="1"/>
  <c r="B34" s="1"/>
  <c r="B35" s="1"/>
  <c r="B36" s="1"/>
  <c r="B37" s="1"/>
  <c r="B38" s="1"/>
  <c r="B39" s="1"/>
  <c r="B40" s="1"/>
  <c r="B41" s="1"/>
  <c r="B42" s="1"/>
  <c r="C33" i="6"/>
  <c r="C34" s="1"/>
  <c r="C35" s="1"/>
  <c r="C36" s="1"/>
  <c r="C37" s="1"/>
  <c r="C38" s="1"/>
  <c r="C39" s="1"/>
  <c r="C40" s="1"/>
  <c r="C41" s="1"/>
  <c r="C42" s="1"/>
  <c r="C43" s="1"/>
  <c r="C44" s="1"/>
  <c r="C45" s="1"/>
  <c r="C46" s="1"/>
  <c r="C47" s="1"/>
  <c r="C48" s="1"/>
  <c r="C49" s="1"/>
  <c r="C50" s="1"/>
  <c r="C51" s="1"/>
  <c r="C52" s="1"/>
  <c r="G9" i="59" l="1"/>
  <c r="E40" i="2"/>
  <c r="H40"/>
  <c r="F36"/>
  <c r="I36"/>
  <c r="E25"/>
  <c r="H25"/>
  <c r="E33"/>
  <c r="H33"/>
  <c r="E41"/>
  <c r="H41"/>
  <c r="I29"/>
  <c r="F29"/>
  <c r="F37"/>
  <c r="I37"/>
  <c r="E26"/>
  <c r="H26"/>
  <c r="E34"/>
  <c r="H34"/>
  <c r="E42"/>
  <c r="H42"/>
  <c r="F30"/>
  <c r="I30"/>
  <c r="F38"/>
  <c r="I38"/>
  <c r="H27"/>
  <c r="E27"/>
  <c r="H35"/>
  <c r="E35"/>
  <c r="I23"/>
  <c r="F23"/>
  <c r="I31"/>
  <c r="F31"/>
  <c r="I39"/>
  <c r="F39"/>
  <c r="F28"/>
  <c r="I28"/>
  <c r="H28"/>
  <c r="E28"/>
  <c r="H36"/>
  <c r="E36"/>
  <c r="I24"/>
  <c r="F24"/>
  <c r="I32"/>
  <c r="F32"/>
  <c r="F40"/>
  <c r="I40"/>
  <c r="E32"/>
  <c r="H32"/>
  <c r="H29"/>
  <c r="E29"/>
  <c r="H37"/>
  <c r="E37"/>
  <c r="F25"/>
  <c r="G25" s="1"/>
  <c r="I25"/>
  <c r="J25" s="1"/>
  <c r="I33"/>
  <c r="F33"/>
  <c r="I41"/>
  <c r="F41"/>
  <c r="H38"/>
  <c r="E38"/>
  <c r="I26"/>
  <c r="F26"/>
  <c r="I34"/>
  <c r="F34"/>
  <c r="I42"/>
  <c r="F42"/>
  <c r="E24"/>
  <c r="H24"/>
  <c r="H30"/>
  <c r="E30"/>
  <c r="E23"/>
  <c r="H23"/>
  <c r="E31"/>
  <c r="H31"/>
  <c r="E39"/>
  <c r="H39"/>
  <c r="F27"/>
  <c r="I27"/>
  <c r="F35"/>
  <c r="I35"/>
  <c r="C53" i="6"/>
  <c r="E33"/>
  <c r="G33" s="1"/>
  <c r="D33"/>
  <c r="D34" s="1"/>
  <c r="E26" i="17"/>
  <c r="G33" i="2" l="1"/>
  <c r="G41"/>
  <c r="J29"/>
  <c r="J42"/>
  <c r="J35"/>
  <c r="G34"/>
  <c r="G31"/>
  <c r="J38"/>
  <c r="G35"/>
  <c r="J34"/>
  <c r="J31"/>
  <c r="G38"/>
  <c r="G42"/>
  <c r="J41"/>
  <c r="J27"/>
  <c r="J40"/>
  <c r="G27"/>
  <c r="G40"/>
  <c r="J30"/>
  <c r="J37"/>
  <c r="G26"/>
  <c r="J26"/>
  <c r="J23"/>
  <c r="G30"/>
  <c r="G37"/>
  <c r="K25"/>
  <c r="G32"/>
  <c r="J28"/>
  <c r="G29"/>
  <c r="J36"/>
  <c r="J32"/>
  <c r="G28"/>
  <c r="G36"/>
  <c r="G24"/>
  <c r="G39"/>
  <c r="J33"/>
  <c r="G23"/>
  <c r="J24"/>
  <c r="J39"/>
  <c r="E34" i="6"/>
  <c r="E35" s="1"/>
  <c r="E36" s="1"/>
  <c r="E37" s="1"/>
  <c r="E38" s="1"/>
  <c r="E39" s="1"/>
  <c r="E40" s="1"/>
  <c r="E41" s="1"/>
  <c r="E42" s="1"/>
  <c r="E43" s="1"/>
  <c r="E44" s="1"/>
  <c r="E45" s="1"/>
  <c r="E46" s="1"/>
  <c r="E47" s="1"/>
  <c r="E48" s="1"/>
  <c r="E49" s="1"/>
  <c r="E50" s="1"/>
  <c r="E51" s="1"/>
  <c r="E52" s="1"/>
  <c r="F34"/>
  <c r="D35"/>
  <c r="D36" s="1"/>
  <c r="D37" s="1"/>
  <c r="D38" s="1"/>
  <c r="D39" s="1"/>
  <c r="D40" s="1"/>
  <c r="D41" s="1"/>
  <c r="D42" s="1"/>
  <c r="D43" s="1"/>
  <c r="D44" s="1"/>
  <c r="D45" s="1"/>
  <c r="D46" s="1"/>
  <c r="D47" s="1"/>
  <c r="D48" s="1"/>
  <c r="D49" s="1"/>
  <c r="D50" s="1"/>
  <c r="D51" s="1"/>
  <c r="D52" s="1"/>
  <c r="F33"/>
  <c r="H33" s="1"/>
  <c r="G19" i="59" s="1"/>
  <c r="B34" i="6"/>
  <c r="B35" s="1"/>
  <c r="B36" s="1"/>
  <c r="B37" s="1"/>
  <c r="B38" s="1"/>
  <c r="B39" s="1"/>
  <c r="B40" s="1"/>
  <c r="B41" s="1"/>
  <c r="B42" s="1"/>
  <c r="B43" s="1"/>
  <c r="B44" s="1"/>
  <c r="B45" s="1"/>
  <c r="B46" s="1"/>
  <c r="B47" s="1"/>
  <c r="B48" s="1"/>
  <c r="B49" s="1"/>
  <c r="B50" s="1"/>
  <c r="B51" s="1"/>
  <c r="B52" s="1"/>
  <c r="K36" i="2" l="1"/>
  <c r="F30" i="7" s="1"/>
  <c r="K27" i="2"/>
  <c r="K17" i="49" s="1"/>
  <c r="K33" i="2"/>
  <c r="K23" i="49" s="1"/>
  <c r="F19" i="7"/>
  <c r="K15" i="49"/>
  <c r="K38" i="2"/>
  <c r="K42"/>
  <c r="K40"/>
  <c r="K41"/>
  <c r="K34"/>
  <c r="K35"/>
  <c r="K37"/>
  <c r="K30"/>
  <c r="K29"/>
  <c r="K39"/>
  <c r="K24"/>
  <c r="K32"/>
  <c r="K31"/>
  <c r="K26"/>
  <c r="K28"/>
  <c r="K23"/>
  <c r="G34" i="6"/>
  <c r="H34" s="1"/>
  <c r="F17" i="58" s="1"/>
  <c r="F35" i="6"/>
  <c r="G35"/>
  <c r="F16" i="58"/>
  <c r="S65" i="17"/>
  <c r="K26" i="49" l="1"/>
  <c r="F27" i="7"/>
  <c r="F21"/>
  <c r="F17"/>
  <c r="K13" i="49"/>
  <c r="F24" i="7"/>
  <c r="K20" i="49"/>
  <c r="F29" i="7"/>
  <c r="K25" i="49"/>
  <c r="F28" i="7"/>
  <c r="K24" i="49"/>
  <c r="F31" i="7"/>
  <c r="K27" i="49"/>
  <c r="F20" i="7"/>
  <c r="K16" i="49"/>
  <c r="F25" i="7"/>
  <c r="K21" i="49"/>
  <c r="F36" i="7"/>
  <c r="K32" i="49"/>
  <c r="F22" i="7"/>
  <c r="K18" i="49"/>
  <c r="F26" i="7"/>
  <c r="K22" i="49"/>
  <c r="F35" i="7"/>
  <c r="K31" i="49"/>
  <c r="F18" i="7"/>
  <c r="K14" i="49"/>
  <c r="F34" i="7"/>
  <c r="K30" i="49"/>
  <c r="F33" i="7"/>
  <c r="K29" i="49"/>
  <c r="F23" i="7"/>
  <c r="K19" i="49"/>
  <c r="F32" i="7"/>
  <c r="K28" i="49"/>
  <c r="H35" i="6"/>
  <c r="F18" i="58" s="1"/>
  <c r="F36" i="6"/>
  <c r="G36"/>
  <c r="K12" i="59"/>
  <c r="K11"/>
  <c r="K10"/>
  <c r="I11"/>
  <c r="I12" s="1"/>
  <c r="I13" s="1"/>
  <c r="I14" s="1"/>
  <c r="I15" s="1"/>
  <c r="I16" s="1"/>
  <c r="I17" s="1"/>
  <c r="I18" s="1"/>
  <c r="I19" s="1"/>
  <c r="I20" s="1"/>
  <c r="I21" s="1"/>
  <c r="I22" s="1"/>
  <c r="I23" s="1"/>
  <c r="I24" s="1"/>
  <c r="I25" s="1"/>
  <c r="I26" s="1"/>
  <c r="I27" s="1"/>
  <c r="I28" s="1"/>
  <c r="I29" s="1"/>
  <c r="I30" s="1"/>
  <c r="I31" s="1"/>
  <c r="I32" s="1"/>
  <c r="H36" i="6" l="1"/>
  <c r="F19" i="58" s="1"/>
  <c r="G37" i="6"/>
  <c r="F37"/>
  <c r="B13" i="50"/>
  <c r="B14" s="1"/>
  <c r="B15" s="1"/>
  <c r="B16" s="1"/>
  <c r="B17" s="1"/>
  <c r="B18" s="1"/>
  <c r="B19" s="1"/>
  <c r="B20" s="1"/>
  <c r="B21" s="1"/>
  <c r="B22" s="1"/>
  <c r="B23" s="1"/>
  <c r="B24" s="1"/>
  <c r="B25" s="1"/>
  <c r="B26" s="1"/>
  <c r="B27" s="1"/>
  <c r="B28" s="1"/>
  <c r="B29" s="1"/>
  <c r="B30" s="1"/>
  <c r="B31" s="1"/>
  <c r="H37" i="6" l="1"/>
  <c r="F20" i="58" s="1"/>
  <c r="F38" i="6"/>
  <c r="G38"/>
  <c r="H38" l="1"/>
  <c r="F21" i="58" s="1"/>
  <c r="K18" i="59" s="1"/>
  <c r="G39" i="6"/>
  <c r="F39"/>
  <c r="K17" i="59"/>
  <c r="K15"/>
  <c r="K14"/>
  <c r="K16"/>
  <c r="K13"/>
  <c r="H39" i="6" l="1"/>
  <c r="F22" i="58" s="1"/>
  <c r="K19" i="59" s="1"/>
  <c r="G40" i="6"/>
  <c r="F40"/>
  <c r="F41" l="1"/>
  <c r="G41"/>
  <c r="H40"/>
  <c r="F23" i="58" s="1"/>
  <c r="K20" i="59" s="1"/>
  <c r="H41" i="6" l="1"/>
  <c r="F24" i="58" s="1"/>
  <c r="K21" i="59" s="1"/>
  <c r="F42" i="6"/>
  <c r="G42"/>
  <c r="H42" l="1"/>
  <c r="F25" i="58" s="1"/>
  <c r="K22" i="59" s="1"/>
  <c r="F43" i="6"/>
  <c r="G43"/>
  <c r="H100" i="3"/>
  <c r="H99"/>
  <c r="H97"/>
  <c r="H96"/>
  <c r="H86"/>
  <c r="H85"/>
  <c r="H72"/>
  <c r="H83"/>
  <c r="H82"/>
  <c r="H80"/>
  <c r="H79"/>
  <c r="H77"/>
  <c r="H76"/>
  <c r="H74"/>
  <c r="H73"/>
  <c r="G58"/>
  <c r="G57"/>
  <c r="G63"/>
  <c r="G62"/>
  <c r="G61"/>
  <c r="G60"/>
  <c r="G59"/>
  <c r="F17"/>
  <c r="G17" s="1"/>
  <c r="F15"/>
  <c r="G15" s="1"/>
  <c r="H43" i="6" l="1"/>
  <c r="F26" i="58" s="1"/>
  <c r="K23" i="59" s="1"/>
  <c r="F44" i="6"/>
  <c r="G44"/>
  <c r="H17" i="3"/>
  <c r="F16"/>
  <c r="H15"/>
  <c r="F18"/>
  <c r="F19"/>
  <c r="D53" i="17"/>
  <c r="D49"/>
  <c r="D45"/>
  <c r="D41"/>
  <c r="I17" i="3" s="1"/>
  <c r="D37" i="17"/>
  <c r="D33"/>
  <c r="I15" i="3" s="1"/>
  <c r="H44" i="6" l="1"/>
  <c r="F27" i="58" s="1"/>
  <c r="K24" i="59" s="1"/>
  <c r="F45" i="6"/>
  <c r="G45"/>
  <c r="F20" i="3"/>
  <c r="F21" s="1"/>
  <c r="G21" s="1"/>
  <c r="G16"/>
  <c r="I16"/>
  <c r="H16"/>
  <c r="I19"/>
  <c r="H19"/>
  <c r="G19"/>
  <c r="G18"/>
  <c r="I18"/>
  <c r="H18"/>
  <c r="E100"/>
  <c r="E99"/>
  <c r="M56"/>
  <c r="N56" s="1"/>
  <c r="J56"/>
  <c r="K56" s="1"/>
  <c r="H45" i="6" l="1"/>
  <c r="F28" i="58" s="1"/>
  <c r="K25" i="59" s="1"/>
  <c r="G46" i="6"/>
  <c r="F46"/>
  <c r="I21" i="3"/>
  <c r="H21"/>
  <c r="I20"/>
  <c r="G20"/>
  <c r="H20"/>
  <c r="F22"/>
  <c r="F47"/>
  <c r="F46"/>
  <c r="F33"/>
  <c r="H46" i="6" l="1"/>
  <c r="F29" i="58" s="1"/>
  <c r="K26" i="59" s="1"/>
  <c r="G47" i="6"/>
  <c r="F47"/>
  <c r="I32" i="3"/>
  <c r="J32" s="1"/>
  <c r="Q14"/>
  <c r="R14" s="1"/>
  <c r="N14"/>
  <c r="O14" s="1"/>
  <c r="K14"/>
  <c r="L14" s="1"/>
  <c r="H14"/>
  <c r="I14" s="1"/>
  <c r="H47" i="6" l="1"/>
  <c r="F30" i="58" s="1"/>
  <c r="K27" i="59" s="1"/>
  <c r="G48" i="6"/>
  <c r="F48"/>
  <c r="J18" i="3"/>
  <c r="J17"/>
  <c r="F27"/>
  <c r="G27" s="1"/>
  <c r="H27" s="1"/>
  <c r="F34"/>
  <c r="F73" s="1"/>
  <c r="F37"/>
  <c r="F40"/>
  <c r="F35"/>
  <c r="F43"/>
  <c r="J15"/>
  <c r="F38"/>
  <c r="F77" s="1"/>
  <c r="F41"/>
  <c r="F97" s="1"/>
  <c r="F44"/>
  <c r="I11" i="49"/>
  <c r="I12" s="1"/>
  <c r="I13" s="1"/>
  <c r="I14" s="1"/>
  <c r="I15" s="1"/>
  <c r="I16" s="1"/>
  <c r="I17" s="1"/>
  <c r="I18" s="1"/>
  <c r="I19" s="1"/>
  <c r="I20" s="1"/>
  <c r="I21" s="1"/>
  <c r="I22" s="1"/>
  <c r="I23" s="1"/>
  <c r="I24" s="1"/>
  <c r="I25" s="1"/>
  <c r="I26" s="1"/>
  <c r="I27" s="1"/>
  <c r="I28" s="1"/>
  <c r="I29" s="1"/>
  <c r="I30" s="1"/>
  <c r="I31" s="1"/>
  <c r="I32" s="1"/>
  <c r="F86" i="3"/>
  <c r="F85"/>
  <c r="I61"/>
  <c r="I60"/>
  <c r="I59"/>
  <c r="I71" i="17"/>
  <c r="I69"/>
  <c r="B15" i="7"/>
  <c r="B16" s="1"/>
  <c r="B17" s="1"/>
  <c r="B18" s="1"/>
  <c r="B19" s="1"/>
  <c r="B20" s="1"/>
  <c r="B21" s="1"/>
  <c r="B22" s="1"/>
  <c r="B23" s="1"/>
  <c r="B24" s="1"/>
  <c r="B25" s="1"/>
  <c r="B26" s="1"/>
  <c r="B27" s="1"/>
  <c r="B28" s="1"/>
  <c r="B29" s="1"/>
  <c r="B30" s="1"/>
  <c r="B31" s="1"/>
  <c r="B32" s="1"/>
  <c r="B33" s="1"/>
  <c r="B34" s="1"/>
  <c r="B35" s="1"/>
  <c r="B36" s="1"/>
  <c r="E10" i="4"/>
  <c r="F10" s="1"/>
  <c r="G10" s="1"/>
  <c r="H10" s="1"/>
  <c r="I10" s="1"/>
  <c r="J10" s="1"/>
  <c r="K10" s="1"/>
  <c r="L10" s="1"/>
  <c r="M10" s="1"/>
  <c r="N10" s="1"/>
  <c r="O10" s="1"/>
  <c r="P10" s="1"/>
  <c r="Q10" s="1"/>
  <c r="R10" s="1"/>
  <c r="S10" s="1"/>
  <c r="T10" s="1"/>
  <c r="U10" s="1"/>
  <c r="V10" s="1"/>
  <c r="W10" s="1"/>
  <c r="X10" s="1"/>
  <c r="Y10" s="1"/>
  <c r="D11"/>
  <c r="C12"/>
  <c r="C13" s="1"/>
  <c r="D14"/>
  <c r="D16" s="1"/>
  <c r="D28" s="1"/>
  <c r="D42" s="1"/>
  <c r="D17"/>
  <c r="E17"/>
  <c r="F17" s="1"/>
  <c r="Y17"/>
  <c r="C18"/>
  <c r="D20"/>
  <c r="E20"/>
  <c r="F20"/>
  <c r="G20"/>
  <c r="H20"/>
  <c r="I20"/>
  <c r="J20"/>
  <c r="K20"/>
  <c r="L20"/>
  <c r="M20"/>
  <c r="C21"/>
  <c r="O22"/>
  <c r="P22" s="1"/>
  <c r="D37"/>
  <c r="E37"/>
  <c r="F37"/>
  <c r="G37"/>
  <c r="H37"/>
  <c r="I37"/>
  <c r="J37"/>
  <c r="K37"/>
  <c r="L37"/>
  <c r="M37"/>
  <c r="N37"/>
  <c r="O37"/>
  <c r="P37"/>
  <c r="Q37"/>
  <c r="R37"/>
  <c r="S37"/>
  <c r="T37"/>
  <c r="U37"/>
  <c r="V37"/>
  <c r="W37"/>
  <c r="X37"/>
  <c r="Y37"/>
  <c r="D40"/>
  <c r="D43"/>
  <c r="E43"/>
  <c r="F43"/>
  <c r="G43"/>
  <c r="H43"/>
  <c r="I43"/>
  <c r="J43"/>
  <c r="K43"/>
  <c r="L43"/>
  <c r="M43"/>
  <c r="N43"/>
  <c r="O43"/>
  <c r="P43"/>
  <c r="Q43"/>
  <c r="R43"/>
  <c r="S43"/>
  <c r="T43"/>
  <c r="U43"/>
  <c r="V43"/>
  <c r="W43"/>
  <c r="X43"/>
  <c r="Y43"/>
  <c r="D46"/>
  <c r="E46"/>
  <c r="F46"/>
  <c r="G46"/>
  <c r="H46"/>
  <c r="I46"/>
  <c r="J46"/>
  <c r="K46"/>
  <c r="L46"/>
  <c r="M46"/>
  <c r="N46"/>
  <c r="O46"/>
  <c r="P46"/>
  <c r="Q46"/>
  <c r="R46"/>
  <c r="S46"/>
  <c r="T46"/>
  <c r="U46"/>
  <c r="V46"/>
  <c r="W46"/>
  <c r="X46"/>
  <c r="Y46"/>
  <c r="D51"/>
  <c r="Y18" l="1"/>
  <c r="H21"/>
  <c r="H48" i="6"/>
  <c r="F31" i="58" s="1"/>
  <c r="K28" i="59" s="1"/>
  <c r="G49" i="6"/>
  <c r="F49"/>
  <c r="D12" i="4"/>
  <c r="D13" s="1"/>
  <c r="D27" s="1"/>
  <c r="D39" s="1"/>
  <c r="D41" s="1"/>
  <c r="P21"/>
  <c r="S15" i="3"/>
  <c r="O21" i="4"/>
  <c r="K21"/>
  <c r="G21"/>
  <c r="F21"/>
  <c r="E14"/>
  <c r="G14" s="1"/>
  <c r="E21"/>
  <c r="D15"/>
  <c r="F82" i="3"/>
  <c r="F99"/>
  <c r="L18"/>
  <c r="G98"/>
  <c r="K19"/>
  <c r="G101"/>
  <c r="F79"/>
  <c r="F96"/>
  <c r="F98" s="1"/>
  <c r="F83"/>
  <c r="F100"/>
  <c r="L61"/>
  <c r="F36"/>
  <c r="F42"/>
  <c r="L20"/>
  <c r="L60"/>
  <c r="K20"/>
  <c r="J19"/>
  <c r="F39"/>
  <c r="K18"/>
  <c r="S18"/>
  <c r="F45"/>
  <c r="F74"/>
  <c r="F75" s="1"/>
  <c r="L17"/>
  <c r="D44" i="4"/>
  <c r="S17" i="3"/>
  <c r="J20"/>
  <c r="S20"/>
  <c r="M17"/>
  <c r="K17"/>
  <c r="N17" s="1"/>
  <c r="Q17" s="1"/>
  <c r="I39" s="1"/>
  <c r="I37" s="1"/>
  <c r="G17" i="4"/>
  <c r="J17"/>
  <c r="F18"/>
  <c r="E18"/>
  <c r="E11"/>
  <c r="M21"/>
  <c r="F80" i="3"/>
  <c r="S16"/>
  <c r="K16"/>
  <c r="L21" i="4"/>
  <c r="D21"/>
  <c r="D18"/>
  <c r="M15" i="3"/>
  <c r="F76"/>
  <c r="F78" s="1"/>
  <c r="M18"/>
  <c r="J21" i="4"/>
  <c r="C19"/>
  <c r="E19" s="1"/>
  <c r="E29" s="1"/>
  <c r="L59" i="3"/>
  <c r="I21" i="4"/>
  <c r="C22"/>
  <c r="L15" i="3"/>
  <c r="S19"/>
  <c r="F84" l="1"/>
  <c r="F50" i="6"/>
  <c r="G50"/>
  <c r="H49"/>
  <c r="F32" i="58" s="1"/>
  <c r="K29" i="59" s="1"/>
  <c r="G102" i="3"/>
  <c r="N18"/>
  <c r="Q18" s="1"/>
  <c r="I42" s="1"/>
  <c r="I40" s="1"/>
  <c r="J57" s="1"/>
  <c r="J21"/>
  <c r="E15" i="4"/>
  <c r="E26" s="1"/>
  <c r="E31" s="1"/>
  <c r="F101" i="3"/>
  <c r="E16" i="4"/>
  <c r="E28" s="1"/>
  <c r="E42" s="1"/>
  <c r="E44" s="1"/>
  <c r="F14"/>
  <c r="F16" s="1"/>
  <c r="F28" s="1"/>
  <c r="F42" s="1"/>
  <c r="F44" s="1"/>
  <c r="D26"/>
  <c r="D31" s="1"/>
  <c r="T18" i="3"/>
  <c r="O18"/>
  <c r="R18" s="1"/>
  <c r="J42" s="1"/>
  <c r="J41" s="1"/>
  <c r="K60" s="1"/>
  <c r="N60" s="1"/>
  <c r="G99"/>
  <c r="I99" s="1"/>
  <c r="G100"/>
  <c r="I100" s="1"/>
  <c r="G97"/>
  <c r="I97" s="1"/>
  <c r="G96"/>
  <c r="I96" s="1"/>
  <c r="S21"/>
  <c r="S22" s="1"/>
  <c r="O20"/>
  <c r="R20" s="1"/>
  <c r="J46" s="1"/>
  <c r="T20"/>
  <c r="I38"/>
  <c r="J59" s="1"/>
  <c r="M59" s="1"/>
  <c r="O17"/>
  <c r="R17" s="1"/>
  <c r="J39" s="1"/>
  <c r="J38" s="1"/>
  <c r="K59" s="1"/>
  <c r="N59" s="1"/>
  <c r="M19"/>
  <c r="P19" s="1"/>
  <c r="H45" s="1"/>
  <c r="L21"/>
  <c r="O21" s="1"/>
  <c r="R21" s="1"/>
  <c r="J47" s="1"/>
  <c r="N20"/>
  <c r="Q20" s="1"/>
  <c r="I46" s="1"/>
  <c r="T17"/>
  <c r="K21"/>
  <c r="N21" s="1"/>
  <c r="Q21" s="1"/>
  <c r="I47" s="1"/>
  <c r="P17"/>
  <c r="H39" s="1"/>
  <c r="J16"/>
  <c r="L16"/>
  <c r="O16" s="1"/>
  <c r="R16" s="1"/>
  <c r="J36" s="1"/>
  <c r="M20"/>
  <c r="K15"/>
  <c r="T15" s="1"/>
  <c r="J19" i="4"/>
  <c r="J29" s="1"/>
  <c r="J18"/>
  <c r="P15" i="3"/>
  <c r="K22" i="4"/>
  <c r="K30" s="1"/>
  <c r="D22"/>
  <c r="D30" s="1"/>
  <c r="L22"/>
  <c r="L30" s="1"/>
  <c r="E22"/>
  <c r="E30" s="1"/>
  <c r="E45" s="1"/>
  <c r="E47" s="1"/>
  <c r="M22"/>
  <c r="M30" s="1"/>
  <c r="F22"/>
  <c r="F30" s="1"/>
  <c r="G22"/>
  <c r="G30" s="1"/>
  <c r="H22"/>
  <c r="H30" s="1"/>
  <c r="J22"/>
  <c r="J30" s="1"/>
  <c r="I22"/>
  <c r="I30" s="1"/>
  <c r="O15" i="3"/>
  <c r="N19"/>
  <c r="Q19" s="1"/>
  <c r="I45" s="1"/>
  <c r="L19"/>
  <c r="O19" s="1"/>
  <c r="R19" s="1"/>
  <c r="J45" s="1"/>
  <c r="N16"/>
  <c r="H22"/>
  <c r="H17" i="4"/>
  <c r="I17"/>
  <c r="G19"/>
  <c r="G29" s="1"/>
  <c r="G18"/>
  <c r="Y19"/>
  <c r="Y29" s="1"/>
  <c r="Y45" s="1"/>
  <c r="Y47" s="1"/>
  <c r="D19"/>
  <c r="D29" s="1"/>
  <c r="P18" i="3"/>
  <c r="H42" s="1"/>
  <c r="F81"/>
  <c r="E13" i="4"/>
  <c r="E27" s="1"/>
  <c r="E39" s="1"/>
  <c r="E40" s="1"/>
  <c r="E41" s="1"/>
  <c r="F11"/>
  <c r="E12"/>
  <c r="G16"/>
  <c r="G28" s="1"/>
  <c r="G42" s="1"/>
  <c r="G44" s="1"/>
  <c r="I14"/>
  <c r="G15"/>
  <c r="F19"/>
  <c r="F29" s="1"/>
  <c r="H50" i="6" l="1"/>
  <c r="F33" i="58" s="1"/>
  <c r="K30" i="59" s="1"/>
  <c r="F51" i="6"/>
  <c r="G51"/>
  <c r="I41" i="3"/>
  <c r="J60" s="1"/>
  <c r="M60" s="1"/>
  <c r="E36" i="4"/>
  <c r="E38" s="1"/>
  <c r="E48" s="1"/>
  <c r="G22" i="3"/>
  <c r="J40"/>
  <c r="F15" i="4"/>
  <c r="F26" s="1"/>
  <c r="F31" s="1"/>
  <c r="H14"/>
  <c r="H15" s="1"/>
  <c r="U18" i="3"/>
  <c r="V18" s="1"/>
  <c r="G42" s="1"/>
  <c r="G81" s="1"/>
  <c r="D36" i="4"/>
  <c r="D38" s="1"/>
  <c r="J45"/>
  <c r="J47" s="1"/>
  <c r="G26"/>
  <c r="G31" s="1"/>
  <c r="G45"/>
  <c r="G47" s="1"/>
  <c r="I101" i="3"/>
  <c r="I98"/>
  <c r="K63"/>
  <c r="N63" s="1"/>
  <c r="I22"/>
  <c r="J37"/>
  <c r="U17"/>
  <c r="V17" s="1"/>
  <c r="G39" s="1"/>
  <c r="G38" s="1"/>
  <c r="F59" s="1"/>
  <c r="H59" s="1"/>
  <c r="J63"/>
  <c r="M63" s="1"/>
  <c r="J22"/>
  <c r="N15"/>
  <c r="Q15" s="1"/>
  <c r="I33" s="1"/>
  <c r="J62" s="1"/>
  <c r="M62" s="1"/>
  <c r="U20"/>
  <c r="V20" s="1"/>
  <c r="G46" s="1"/>
  <c r="G85" s="1"/>
  <c r="I85" s="1"/>
  <c r="P20"/>
  <c r="H46" s="1"/>
  <c r="L22"/>
  <c r="T21"/>
  <c r="K22"/>
  <c r="M21"/>
  <c r="T16"/>
  <c r="M16"/>
  <c r="M57"/>
  <c r="U19"/>
  <c r="I19" i="4"/>
  <c r="I29" s="1"/>
  <c r="I45" s="1"/>
  <c r="I47" s="1"/>
  <c r="I18"/>
  <c r="I15"/>
  <c r="J14"/>
  <c r="I16"/>
  <c r="I28" s="1"/>
  <c r="I42" s="1"/>
  <c r="I44" s="1"/>
  <c r="K14"/>
  <c r="Q16" i="3"/>
  <c r="R15"/>
  <c r="O22"/>
  <c r="F45" i="4"/>
  <c r="F47" s="1"/>
  <c r="J43" i="3"/>
  <c r="K58" s="1"/>
  <c r="N58" s="1"/>
  <c r="J44"/>
  <c r="K61" s="1"/>
  <c r="N61" s="1"/>
  <c r="T19"/>
  <c r="H33"/>
  <c r="H18" i="4"/>
  <c r="K17"/>
  <c r="H19"/>
  <c r="H29" s="1"/>
  <c r="H45" s="1"/>
  <c r="H47" s="1"/>
  <c r="G11"/>
  <c r="F12"/>
  <c r="F13"/>
  <c r="F27" s="1"/>
  <c r="F39" s="1"/>
  <c r="F40" s="1"/>
  <c r="F41" s="1"/>
  <c r="I44" i="3"/>
  <c r="J61" s="1"/>
  <c r="M61" s="1"/>
  <c r="I43"/>
  <c r="J58" s="1"/>
  <c r="M58" s="1"/>
  <c r="D45" i="4"/>
  <c r="D47" s="1"/>
  <c r="H51" i="6" l="1"/>
  <c r="F34" i="58" s="1"/>
  <c r="K31" i="59" s="1"/>
  <c r="F52" i="6"/>
  <c r="G52"/>
  <c r="K57" i="3"/>
  <c r="N57" s="1"/>
  <c r="I102"/>
  <c r="K98"/>
  <c r="J101"/>
  <c r="J102" s="1"/>
  <c r="K101"/>
  <c r="L101"/>
  <c r="L102" s="1"/>
  <c r="H16" i="4"/>
  <c r="H28" s="1"/>
  <c r="H42" s="1"/>
  <c r="H44" s="1"/>
  <c r="F36"/>
  <c r="F38" s="1"/>
  <c r="F48" s="1"/>
  <c r="D48"/>
  <c r="G37" i="3"/>
  <c r="G40"/>
  <c r="G41"/>
  <c r="F60" s="1"/>
  <c r="H60" s="1"/>
  <c r="I26" i="4"/>
  <c r="I31" s="1"/>
  <c r="G78" i="3"/>
  <c r="G76" s="1"/>
  <c r="I76" s="1"/>
  <c r="N22"/>
  <c r="U15"/>
  <c r="V15" s="1"/>
  <c r="G33" s="1"/>
  <c r="G72" s="1"/>
  <c r="I72" s="1"/>
  <c r="T22"/>
  <c r="P16"/>
  <c r="M22"/>
  <c r="U21"/>
  <c r="V21" s="1"/>
  <c r="G47" s="1"/>
  <c r="P21"/>
  <c r="H47" s="1"/>
  <c r="I63" s="1"/>
  <c r="L63" s="1"/>
  <c r="U16"/>
  <c r="V16" s="1"/>
  <c r="G36" s="1"/>
  <c r="H11" i="4"/>
  <c r="G12"/>
  <c r="G36" s="1"/>
  <c r="G38" s="1"/>
  <c r="G13"/>
  <c r="G27" s="1"/>
  <c r="G39" s="1"/>
  <c r="G40" s="1"/>
  <c r="G41" s="1"/>
  <c r="V19" i="3"/>
  <c r="J33"/>
  <c r="R22"/>
  <c r="M64"/>
  <c r="C14" i="58" s="1"/>
  <c r="E14" s="1"/>
  <c r="J64" i="3"/>
  <c r="J15" i="4"/>
  <c r="J16"/>
  <c r="J28" s="1"/>
  <c r="J42" s="1"/>
  <c r="J44" s="1"/>
  <c r="L14"/>
  <c r="G79" i="3"/>
  <c r="I79" s="1"/>
  <c r="G80"/>
  <c r="I80" s="1"/>
  <c r="I36"/>
  <c r="I48" s="1"/>
  <c r="Q22"/>
  <c r="I62"/>
  <c r="L62" s="1"/>
  <c r="H26" i="4"/>
  <c r="H31" s="1"/>
  <c r="K19"/>
  <c r="K29" s="1"/>
  <c r="K45" s="1"/>
  <c r="K47" s="1"/>
  <c r="K18"/>
  <c r="L17"/>
  <c r="K15"/>
  <c r="M14"/>
  <c r="K16"/>
  <c r="K28" s="1"/>
  <c r="K42" s="1"/>
  <c r="K44" s="1"/>
  <c r="H52" i="6" l="1"/>
  <c r="F35" i="58" s="1"/>
  <c r="K32" i="59" s="1"/>
  <c r="K102" i="3"/>
  <c r="C26" i="7" s="1"/>
  <c r="J11" i="59"/>
  <c r="L11" s="1"/>
  <c r="G14" i="58"/>
  <c r="C30"/>
  <c r="C31" i="7"/>
  <c r="C21"/>
  <c r="C20" i="58"/>
  <c r="I81" i="3"/>
  <c r="F62"/>
  <c r="H62" s="1"/>
  <c r="G77"/>
  <c r="I77" s="1"/>
  <c r="I78" s="1"/>
  <c r="U22"/>
  <c r="G75"/>
  <c r="G34"/>
  <c r="F57" s="1"/>
  <c r="H57" s="1"/>
  <c r="G35"/>
  <c r="G48" i="4"/>
  <c r="H36" i="3"/>
  <c r="P22"/>
  <c r="F63"/>
  <c r="H63" s="1"/>
  <c r="G86"/>
  <c r="I86" s="1"/>
  <c r="J26" i="4"/>
  <c r="J31" s="1"/>
  <c r="H12"/>
  <c r="H36" s="1"/>
  <c r="H38" s="1"/>
  <c r="I11"/>
  <c r="H13"/>
  <c r="H27" s="1"/>
  <c r="H39" s="1"/>
  <c r="H40" s="1"/>
  <c r="H41" s="1"/>
  <c r="N14"/>
  <c r="N16" s="1"/>
  <c r="N28" s="1"/>
  <c r="N42" s="1"/>
  <c r="N44" s="1"/>
  <c r="L15"/>
  <c r="L16"/>
  <c r="L28" s="1"/>
  <c r="L42" s="1"/>
  <c r="L44" s="1"/>
  <c r="K62" i="3"/>
  <c r="J48"/>
  <c r="L19" i="4"/>
  <c r="L29" s="1"/>
  <c r="L45" s="1"/>
  <c r="L47" s="1"/>
  <c r="L18"/>
  <c r="M17"/>
  <c r="M16"/>
  <c r="M28" s="1"/>
  <c r="M42" s="1"/>
  <c r="M44" s="1"/>
  <c r="O14"/>
  <c r="M15"/>
  <c r="G45" i="3"/>
  <c r="V22"/>
  <c r="K26" i="4"/>
  <c r="K31" s="1"/>
  <c r="C15" i="7"/>
  <c r="E15" s="1"/>
  <c r="G17" i="49" l="1"/>
  <c r="G17" i="59"/>
  <c r="C25" i="58"/>
  <c r="G11" i="49"/>
  <c r="G11" i="59"/>
  <c r="G15" i="7"/>
  <c r="J11" i="49"/>
  <c r="L11" s="1"/>
  <c r="G15"/>
  <c r="G15" i="59"/>
  <c r="G14" i="49"/>
  <c r="G14" i="59"/>
  <c r="H35" i="3"/>
  <c r="I58" s="1"/>
  <c r="L58" s="1"/>
  <c r="H34"/>
  <c r="I57" s="1"/>
  <c r="H48"/>
  <c r="H49" s="1"/>
  <c r="G73"/>
  <c r="I73" s="1"/>
  <c r="G74"/>
  <c r="I74" s="1"/>
  <c r="I13" i="4"/>
  <c r="I27" s="1"/>
  <c r="I39" s="1"/>
  <c r="I40" s="1"/>
  <c r="I41" s="1"/>
  <c r="I12"/>
  <c r="I36" s="1"/>
  <c r="I38" s="1"/>
  <c r="J11"/>
  <c r="H48"/>
  <c r="G43" i="3"/>
  <c r="F58" s="1"/>
  <c r="G84"/>
  <c r="G44"/>
  <c r="F61" s="1"/>
  <c r="H61" s="1"/>
  <c r="G48"/>
  <c r="P14" i="4"/>
  <c r="O16"/>
  <c r="O28" s="1"/>
  <c r="O42" s="1"/>
  <c r="O44" s="1"/>
  <c r="Q14"/>
  <c r="O15"/>
  <c r="L26"/>
  <c r="L31" s="1"/>
  <c r="N62" i="3"/>
  <c r="N64" s="1"/>
  <c r="C15" i="58" s="1"/>
  <c r="E15" s="1"/>
  <c r="K64" i="3"/>
  <c r="M19" i="4"/>
  <c r="M29" s="1"/>
  <c r="M45" s="1"/>
  <c r="M47" s="1"/>
  <c r="M18"/>
  <c r="M26" s="1"/>
  <c r="M31" s="1"/>
  <c r="N17"/>
  <c r="G15" i="58" l="1"/>
  <c r="J12" i="59"/>
  <c r="L12" s="1"/>
  <c r="G12" i="49"/>
  <c r="G12" i="59"/>
  <c r="I48" i="4"/>
  <c r="I75" i="3"/>
  <c r="L57"/>
  <c r="L64" s="1"/>
  <c r="C13" i="58" s="1"/>
  <c r="E13" s="1"/>
  <c r="I64" i="3"/>
  <c r="I65" s="1"/>
  <c r="J13" i="4"/>
  <c r="J27" s="1"/>
  <c r="J39" s="1"/>
  <c r="J40" s="1"/>
  <c r="J41" s="1"/>
  <c r="J12"/>
  <c r="J36" s="1"/>
  <c r="J38" s="1"/>
  <c r="K11"/>
  <c r="Q15"/>
  <c r="Q16"/>
  <c r="Q28" s="1"/>
  <c r="Q42" s="1"/>
  <c r="Q44" s="1"/>
  <c r="S14"/>
  <c r="G82" i="3"/>
  <c r="I82" s="1"/>
  <c r="G83"/>
  <c r="I83" s="1"/>
  <c r="G87"/>
  <c r="O17" i="4"/>
  <c r="N19"/>
  <c r="N29" s="1"/>
  <c r="N45" s="1"/>
  <c r="N47" s="1"/>
  <c r="N18"/>
  <c r="C16" i="7"/>
  <c r="E16" s="1"/>
  <c r="H58" i="3"/>
  <c r="G13" i="59" s="1"/>
  <c r="F64" i="3"/>
  <c r="P16" i="4"/>
  <c r="P28" s="1"/>
  <c r="P42" s="1"/>
  <c r="P44" s="1"/>
  <c r="R14"/>
  <c r="P15"/>
  <c r="G16" i="59" l="1"/>
  <c r="G13" i="58"/>
  <c r="J10" i="59"/>
  <c r="L10" s="1"/>
  <c r="G16" i="7"/>
  <c r="J12" i="49"/>
  <c r="L12" s="1"/>
  <c r="I84" i="3"/>
  <c r="I87" s="1"/>
  <c r="C14" i="7"/>
  <c r="E14" s="1"/>
  <c r="L65" i="3"/>
  <c r="J48" i="4"/>
  <c r="G13" i="49"/>
  <c r="G16" s="1"/>
  <c r="H64" i="3"/>
  <c r="P17" i="4"/>
  <c r="O19"/>
  <c r="O29" s="1"/>
  <c r="O45" s="1"/>
  <c r="O47" s="1"/>
  <c r="O18"/>
  <c r="K12"/>
  <c r="K36" s="1"/>
  <c r="K38" s="1"/>
  <c r="L11"/>
  <c r="K13"/>
  <c r="K27" s="1"/>
  <c r="K39" s="1"/>
  <c r="K40" s="1"/>
  <c r="K41" s="1"/>
  <c r="N26"/>
  <c r="N31" s="1"/>
  <c r="S16"/>
  <c r="S28" s="1"/>
  <c r="S42" s="1"/>
  <c r="S44" s="1"/>
  <c r="U14"/>
  <c r="R15"/>
  <c r="R16"/>
  <c r="R28" s="1"/>
  <c r="R42" s="1"/>
  <c r="R44" s="1"/>
  <c r="T14"/>
  <c r="G14" i="7" l="1"/>
  <c r="J10" i="49"/>
  <c r="L10" s="1"/>
  <c r="C12" i="50"/>
  <c r="D16"/>
  <c r="D17"/>
  <c r="D21"/>
  <c r="D25"/>
  <c r="D29"/>
  <c r="D28"/>
  <c r="D13"/>
  <c r="E17"/>
  <c r="E21"/>
  <c r="E25"/>
  <c r="E29"/>
  <c r="D24"/>
  <c r="E13"/>
  <c r="D18"/>
  <c r="D22"/>
  <c r="D26"/>
  <c r="D30"/>
  <c r="E15"/>
  <c r="E28"/>
  <c r="D14"/>
  <c r="E18"/>
  <c r="E22"/>
  <c r="E26"/>
  <c r="E30"/>
  <c r="E24"/>
  <c r="E14"/>
  <c r="D19"/>
  <c r="D23"/>
  <c r="D27"/>
  <c r="D31"/>
  <c r="D20"/>
  <c r="E20"/>
  <c r="D12"/>
  <c r="D15"/>
  <c r="E19"/>
  <c r="E23"/>
  <c r="E27"/>
  <c r="E31"/>
  <c r="E12"/>
  <c r="E16"/>
  <c r="P18" i="4"/>
  <c r="Q17"/>
  <c r="P19"/>
  <c r="P29" s="1"/>
  <c r="P45" s="1"/>
  <c r="P47" s="1"/>
  <c r="O26"/>
  <c r="O31" s="1"/>
  <c r="U16"/>
  <c r="U28" s="1"/>
  <c r="U42" s="1"/>
  <c r="U44" s="1"/>
  <c r="W14"/>
  <c r="U15"/>
  <c r="K48"/>
  <c r="V14"/>
  <c r="T16"/>
  <c r="T28" s="1"/>
  <c r="T42" s="1"/>
  <c r="T44" s="1"/>
  <c r="L13"/>
  <c r="L27" s="1"/>
  <c r="L39" s="1"/>
  <c r="L40" s="1"/>
  <c r="L41" s="1"/>
  <c r="L12"/>
  <c r="L36" s="1"/>
  <c r="L38" s="1"/>
  <c r="M11"/>
  <c r="F12" i="50" l="1"/>
  <c r="C13"/>
  <c r="V16" i="4"/>
  <c r="V28" s="1"/>
  <c r="V42" s="1"/>
  <c r="V44" s="1"/>
  <c r="X14"/>
  <c r="V15"/>
  <c r="Q19"/>
  <c r="Q29" s="1"/>
  <c r="Q45" s="1"/>
  <c r="Q47" s="1"/>
  <c r="Q18"/>
  <c r="R17"/>
  <c r="W16"/>
  <c r="W28" s="1"/>
  <c r="W42" s="1"/>
  <c r="W44" s="1"/>
  <c r="Y14"/>
  <c r="W15"/>
  <c r="P26"/>
  <c r="P31" s="1"/>
  <c r="M13"/>
  <c r="M27" s="1"/>
  <c r="M39" s="1"/>
  <c r="M40" s="1"/>
  <c r="M41" s="1"/>
  <c r="N11"/>
  <c r="M12"/>
  <c r="M36" s="1"/>
  <c r="M38" s="1"/>
  <c r="L48"/>
  <c r="G18" i="59" l="1"/>
  <c r="D16" i="58"/>
  <c r="E16" s="1"/>
  <c r="F13" i="50"/>
  <c r="D17" i="58" s="1"/>
  <c r="E17" s="1"/>
  <c r="C14" i="50"/>
  <c r="G18" i="49"/>
  <c r="D17" i="7"/>
  <c r="E17" s="1"/>
  <c r="M48" i="4"/>
  <c r="X16"/>
  <c r="X28" s="1"/>
  <c r="X42" s="1"/>
  <c r="X44" s="1"/>
  <c r="X15"/>
  <c r="R19"/>
  <c r="R29" s="1"/>
  <c r="R45" s="1"/>
  <c r="R47" s="1"/>
  <c r="R18"/>
  <c r="S17"/>
  <c r="Q26"/>
  <c r="Q31" s="1"/>
  <c r="O11"/>
  <c r="N12"/>
  <c r="N36" s="1"/>
  <c r="N38" s="1"/>
  <c r="N13"/>
  <c r="N27" s="1"/>
  <c r="N39" s="1"/>
  <c r="N40" s="1"/>
  <c r="N41" s="1"/>
  <c r="Y16"/>
  <c r="Y28" s="1"/>
  <c r="Y42" s="1"/>
  <c r="Y44" s="1"/>
  <c r="Y15"/>
  <c r="J14" i="59" l="1"/>
  <c r="L14" s="1"/>
  <c r="G17" i="58"/>
  <c r="J13" i="59"/>
  <c r="L13" s="1"/>
  <c r="G16" i="58"/>
  <c r="G21" i="59" s="1"/>
  <c r="G17" i="7"/>
  <c r="J13" i="49"/>
  <c r="L13" s="1"/>
  <c r="F14" i="50"/>
  <c r="D18" i="58" s="1"/>
  <c r="E18" s="1"/>
  <c r="C15" i="50"/>
  <c r="D18" i="7"/>
  <c r="E18" s="1"/>
  <c r="N48" i="4"/>
  <c r="P11"/>
  <c r="O12"/>
  <c r="O36" s="1"/>
  <c r="O38" s="1"/>
  <c r="O13"/>
  <c r="O27" s="1"/>
  <c r="O39" s="1"/>
  <c r="O40" s="1"/>
  <c r="O41" s="1"/>
  <c r="Y26"/>
  <c r="Y31" s="1"/>
  <c r="S19"/>
  <c r="S29" s="1"/>
  <c r="S45" s="1"/>
  <c r="S47" s="1"/>
  <c r="S18"/>
  <c r="T17"/>
  <c r="R26"/>
  <c r="R31" s="1"/>
  <c r="G18" i="7" l="1"/>
  <c r="J14" i="49"/>
  <c r="L14" s="1"/>
  <c r="J15" i="59"/>
  <c r="L15" s="1"/>
  <c r="G18" i="58"/>
  <c r="D19" i="7"/>
  <c r="E19" s="1"/>
  <c r="C16" i="50"/>
  <c r="F15"/>
  <c r="D19" i="58" s="1"/>
  <c r="E19" s="1"/>
  <c r="O48" i="4"/>
  <c r="S26"/>
  <c r="S31" s="1"/>
  <c r="P12"/>
  <c r="P36" s="1"/>
  <c r="P38" s="1"/>
  <c r="Q11"/>
  <c r="P13"/>
  <c r="P27" s="1"/>
  <c r="P39" s="1"/>
  <c r="P40" s="1"/>
  <c r="P41" s="1"/>
  <c r="T19"/>
  <c r="T29" s="1"/>
  <c r="T45" s="1"/>
  <c r="T47" s="1"/>
  <c r="T18"/>
  <c r="U17"/>
  <c r="J16" i="59" l="1"/>
  <c r="L16" s="1"/>
  <c r="G19" i="58"/>
  <c r="G19" i="7"/>
  <c r="J15" i="49"/>
  <c r="L15" s="1"/>
  <c r="D20" i="7"/>
  <c r="E20" s="1"/>
  <c r="C17" i="50"/>
  <c r="F16"/>
  <c r="D20" i="58" s="1"/>
  <c r="E20" s="1"/>
  <c r="P48" i="4"/>
  <c r="T26"/>
  <c r="T31" s="1"/>
  <c r="U19"/>
  <c r="U29" s="1"/>
  <c r="U45" s="1"/>
  <c r="U47" s="1"/>
  <c r="U18"/>
  <c r="V17"/>
  <c r="Q13"/>
  <c r="Q27" s="1"/>
  <c r="Q39" s="1"/>
  <c r="Q40" s="1"/>
  <c r="Q41" s="1"/>
  <c r="Q12"/>
  <c r="Q36" s="1"/>
  <c r="Q38" s="1"/>
  <c r="R11"/>
  <c r="G20" i="7" l="1"/>
  <c r="J16" i="49"/>
  <c r="L16" s="1"/>
  <c r="J17" i="59"/>
  <c r="L17" s="1"/>
  <c r="G20" i="58"/>
  <c r="E22" i="7"/>
  <c r="J18" i="49" s="1"/>
  <c r="L18" s="1"/>
  <c r="D21" i="7"/>
  <c r="E21" s="1"/>
  <c r="F17" i="50"/>
  <c r="D21" i="58" s="1"/>
  <c r="E21" s="1"/>
  <c r="C18" i="50"/>
  <c r="U26" i="4"/>
  <c r="U31" s="1"/>
  <c r="R13"/>
  <c r="R27" s="1"/>
  <c r="R39" s="1"/>
  <c r="R40" s="1"/>
  <c r="R41" s="1"/>
  <c r="R12"/>
  <c r="R36" s="1"/>
  <c r="R38" s="1"/>
  <c r="S11"/>
  <c r="Q48"/>
  <c r="W17"/>
  <c r="X17"/>
  <c r="V19"/>
  <c r="V29" s="1"/>
  <c r="V45" s="1"/>
  <c r="V47" s="1"/>
  <c r="V18"/>
  <c r="G21" i="7" l="1"/>
  <c r="J17" i="49"/>
  <c r="L17" s="1"/>
  <c r="J18" i="59"/>
  <c r="L18" s="1"/>
  <c r="G21" i="58"/>
  <c r="D22" i="7"/>
  <c r="C19" i="50"/>
  <c r="F18"/>
  <c r="D22" i="58" s="1"/>
  <c r="E22" s="1"/>
  <c r="W19" i="4"/>
  <c r="W29" s="1"/>
  <c r="W45" s="1"/>
  <c r="W47" s="1"/>
  <c r="W18"/>
  <c r="G22" i="7"/>
  <c r="S12" i="4"/>
  <c r="S36" s="1"/>
  <c r="S38" s="1"/>
  <c r="S13"/>
  <c r="S27" s="1"/>
  <c r="S39" s="1"/>
  <c r="S40" s="1"/>
  <c r="S41" s="1"/>
  <c r="T11"/>
  <c r="X18"/>
  <c r="X19"/>
  <c r="X29" s="1"/>
  <c r="X45" s="1"/>
  <c r="X47" s="1"/>
  <c r="V26"/>
  <c r="V31" s="1"/>
  <c r="R48"/>
  <c r="J19" i="59" l="1"/>
  <c r="L19" s="1"/>
  <c r="G22" i="58"/>
  <c r="C20" i="50"/>
  <c r="F19"/>
  <c r="D23" i="58" s="1"/>
  <c r="E23" s="1"/>
  <c r="D23" i="7"/>
  <c r="E23" s="1"/>
  <c r="S48" i="4"/>
  <c r="T12"/>
  <c r="T36" s="1"/>
  <c r="T38" s="1"/>
  <c r="T13"/>
  <c r="T27" s="1"/>
  <c r="T39" s="1"/>
  <c r="T40" s="1"/>
  <c r="T41" s="1"/>
  <c r="U11"/>
  <c r="X26"/>
  <c r="X31" s="1"/>
  <c r="W26"/>
  <c r="W31" s="1"/>
  <c r="J19" i="49" l="1"/>
  <c r="L19" s="1"/>
  <c r="G23" i="7"/>
  <c r="J20" i="59"/>
  <c r="L20" s="1"/>
  <c r="G23" i="58"/>
  <c r="D24" i="7"/>
  <c r="E24" s="1"/>
  <c r="F20" i="50"/>
  <c r="D24" i="58" s="1"/>
  <c r="E24" s="1"/>
  <c r="C21" i="50"/>
  <c r="T48" i="4"/>
  <c r="U13"/>
  <c r="U27" s="1"/>
  <c r="U39" s="1"/>
  <c r="U40" s="1"/>
  <c r="U41" s="1"/>
  <c r="V11"/>
  <c r="U12"/>
  <c r="U36" s="1"/>
  <c r="U38" s="1"/>
  <c r="J21" i="59" l="1"/>
  <c r="L21" s="1"/>
  <c r="G24" i="58"/>
  <c r="G24" i="7"/>
  <c r="J20" i="49"/>
  <c r="L20" s="1"/>
  <c r="C22" i="50"/>
  <c r="F21"/>
  <c r="D25" i="58" s="1"/>
  <c r="E25" s="1"/>
  <c r="D25" i="7"/>
  <c r="E25" s="1"/>
  <c r="W11" i="4"/>
  <c r="V13"/>
  <c r="V27" s="1"/>
  <c r="V39" s="1"/>
  <c r="V40" s="1"/>
  <c r="V41" s="1"/>
  <c r="V12"/>
  <c r="V36" s="1"/>
  <c r="V38" s="1"/>
  <c r="U48"/>
  <c r="G25" i="7" l="1"/>
  <c r="J21" i="49"/>
  <c r="L21" s="1"/>
  <c r="J22" i="59"/>
  <c r="L22" s="1"/>
  <c r="G25" i="58"/>
  <c r="D26" i="7"/>
  <c r="E26" s="1"/>
  <c r="F22" i="50"/>
  <c r="D26" i="58" s="1"/>
  <c r="E26" s="1"/>
  <c r="C23" i="50"/>
  <c r="X11" i="4"/>
  <c r="W12"/>
  <c r="W36" s="1"/>
  <c r="W38" s="1"/>
  <c r="W13"/>
  <c r="W27" s="1"/>
  <c r="W39" s="1"/>
  <c r="W40" s="1"/>
  <c r="W41" s="1"/>
  <c r="V48"/>
  <c r="J23" i="59" l="1"/>
  <c r="L23" s="1"/>
  <c r="G26" i="58"/>
  <c r="G26" i="7"/>
  <c r="J22" i="49"/>
  <c r="L22" s="1"/>
  <c r="C24" i="50"/>
  <c r="F23"/>
  <c r="D27" i="58" s="1"/>
  <c r="E27" s="1"/>
  <c r="D27" i="7"/>
  <c r="E27" s="1"/>
  <c r="W48" i="4"/>
  <c r="X12"/>
  <c r="X36" s="1"/>
  <c r="X38" s="1"/>
  <c r="Y11"/>
  <c r="X13"/>
  <c r="X27" s="1"/>
  <c r="X39" s="1"/>
  <c r="X40" s="1"/>
  <c r="X41" s="1"/>
  <c r="J24" i="59" l="1"/>
  <c r="L24" s="1"/>
  <c r="G27" i="58"/>
  <c r="G27" i="7"/>
  <c r="J23" i="49"/>
  <c r="L23" s="1"/>
  <c r="D28" i="7"/>
  <c r="E28" s="1"/>
  <c r="F24" i="50"/>
  <c r="D28" i="58" s="1"/>
  <c r="E28" s="1"/>
  <c r="C25" i="50"/>
  <c r="X48" i="4"/>
  <c r="Y13"/>
  <c r="Y27" s="1"/>
  <c r="Y39" s="1"/>
  <c r="Y40" s="1"/>
  <c r="Y41" s="1"/>
  <c r="Y12"/>
  <c r="Y36" s="1"/>
  <c r="Y38" s="1"/>
  <c r="J25" i="59" l="1"/>
  <c r="L25" s="1"/>
  <c r="G28" i="58"/>
  <c r="G28" i="7"/>
  <c r="J24" i="49"/>
  <c r="L24" s="1"/>
  <c r="C26" i="50"/>
  <c r="F25"/>
  <c r="D29" i="58" s="1"/>
  <c r="E29" s="1"/>
  <c r="D29" i="7"/>
  <c r="E29" s="1"/>
  <c r="Y48" i="4"/>
  <c r="G29" i="7" l="1"/>
  <c r="J25" i="49"/>
  <c r="L25" s="1"/>
  <c r="J26" i="59"/>
  <c r="L26" s="1"/>
  <c r="G29" i="58"/>
  <c r="D30" i="7"/>
  <c r="E30" s="1"/>
  <c r="F26" i="50"/>
  <c r="D30" i="58" s="1"/>
  <c r="E30" s="1"/>
  <c r="C27" i="50"/>
  <c r="J27" i="59" l="1"/>
  <c r="L27" s="1"/>
  <c r="G30" i="58"/>
  <c r="G30" i="7"/>
  <c r="J26" i="49"/>
  <c r="L26" s="1"/>
  <c r="C28" i="50"/>
  <c r="F27"/>
  <c r="D31" i="58" s="1"/>
  <c r="E31" s="1"/>
  <c r="D31" i="7"/>
  <c r="E31" s="1"/>
  <c r="G31" l="1"/>
  <c r="J27" i="49"/>
  <c r="L27" s="1"/>
  <c r="J28" i="59"/>
  <c r="L28" s="1"/>
  <c r="G31" i="58"/>
  <c r="D32" i="7"/>
  <c r="E32" s="1"/>
  <c r="F28" i="50"/>
  <c r="D32" i="58" s="1"/>
  <c r="E32" s="1"/>
  <c r="C29" i="50"/>
  <c r="G32" i="7" l="1"/>
  <c r="J28" i="49"/>
  <c r="L28" s="1"/>
  <c r="J29" i="59"/>
  <c r="L29" s="1"/>
  <c r="G32" i="58"/>
  <c r="C30" i="50"/>
  <c r="F29"/>
  <c r="D33" i="58" s="1"/>
  <c r="E33" s="1"/>
  <c r="D33" i="7"/>
  <c r="E33" s="1"/>
  <c r="G33" l="1"/>
  <c r="J29" i="49"/>
  <c r="L29" s="1"/>
  <c r="J30" i="59"/>
  <c r="L30" s="1"/>
  <c r="G33" i="58"/>
  <c r="D34" i="7"/>
  <c r="E34" s="1"/>
  <c r="F30" i="50"/>
  <c r="D34" i="58" s="1"/>
  <c r="E34" s="1"/>
  <c r="C31" i="50"/>
  <c r="F31" s="1"/>
  <c r="D35" i="58" s="1"/>
  <c r="E35" s="1"/>
  <c r="J31" i="59" l="1"/>
  <c r="L31" s="1"/>
  <c r="G34" i="58"/>
  <c r="J32" i="59"/>
  <c r="L32" s="1"/>
  <c r="G35" i="58"/>
  <c r="G34" i="7"/>
  <c r="J30" i="49"/>
  <c r="L30" s="1"/>
  <c r="D36" i="7"/>
  <c r="E36" s="1"/>
  <c r="D35"/>
  <c r="E35" s="1"/>
  <c r="G36" l="1"/>
  <c r="J32" i="49"/>
  <c r="L32" s="1"/>
  <c r="G35" i="7"/>
  <c r="J31" i="49"/>
  <c r="L31" s="1"/>
  <c r="G37" i="58"/>
  <c r="G23" i="59" s="1"/>
  <c r="H37" i="58"/>
  <c r="G25" i="59" s="1"/>
  <c r="L35"/>
  <c r="L34"/>
  <c r="H39" i="7" l="1"/>
  <c r="G26" i="49" s="1"/>
  <c r="G39" i="7"/>
  <c r="G24" i="49" s="1"/>
  <c r="L34"/>
  <c r="L35"/>
  <c r="B14" i="58"/>
  <c r="B15" s="1"/>
  <c r="B16" s="1"/>
  <c r="B17" s="1"/>
  <c r="B18" s="1"/>
  <c r="B19" s="1"/>
  <c r="B20" s="1"/>
  <c r="B21" s="1"/>
  <c r="B22" s="1"/>
  <c r="B23" s="1"/>
  <c r="B24" s="1"/>
  <c r="B25" s="1"/>
  <c r="B26" s="1"/>
  <c r="B27" s="1"/>
  <c r="B28" s="1"/>
  <c r="B29" s="1"/>
  <c r="B30" s="1"/>
  <c r="B31" s="1"/>
  <c r="B32" s="1"/>
  <c r="B33" s="1"/>
  <c r="B34" s="1"/>
  <c r="B35" s="1"/>
</calcChain>
</file>

<file path=xl/sharedStrings.xml><?xml version="1.0" encoding="utf-8"?>
<sst xmlns="http://schemas.openxmlformats.org/spreadsheetml/2006/main" count="634" uniqueCount="483">
  <si>
    <t>Cout financier</t>
  </si>
  <si>
    <t>Années</t>
  </si>
  <si>
    <t>TRE</t>
  </si>
  <si>
    <t>Désignations</t>
  </si>
  <si>
    <t>Main d'œuvre</t>
  </si>
  <si>
    <t>Sous-total</t>
  </si>
  <si>
    <t>Equipements importés</t>
  </si>
  <si>
    <t>Autres charges</t>
  </si>
  <si>
    <t>Charges financiéres</t>
  </si>
  <si>
    <t>Encadrement</t>
  </si>
  <si>
    <t>Cout financier du Projet</t>
  </si>
  <si>
    <t>Cout économiques des charges d'exploitation</t>
  </si>
  <si>
    <t xml:space="preserve"> matériels d'entretien </t>
  </si>
  <si>
    <t>Matériels d'entretien</t>
  </si>
  <si>
    <t>Services publics , outillages et charges financières</t>
  </si>
  <si>
    <t>Coefficient de conversion</t>
  </si>
  <si>
    <t>Cout économique</t>
  </si>
  <si>
    <t>Il en ressort que ces impacts portent essentiellement sur le bien-être des habitants, sur l’économie de la région et sur la</t>
  </si>
  <si>
    <t xml:space="preserve">environ 69 500 habitants  et desservira également les communes avoisinantes B et C  ayant une population d'environ   </t>
  </si>
  <si>
    <r>
      <t xml:space="preserve">(i) </t>
    </r>
    <r>
      <rPr>
        <sz val="12"/>
        <color theme="1"/>
        <rFont val="Calibri"/>
        <family val="2"/>
        <scheme val="minor"/>
      </rPr>
      <t xml:space="preserve">le ravitaillement de  la population des 3 communes  , (ii) de faciliter la commercialisation des produits locaux </t>
    </r>
  </si>
  <si>
    <t>Nom de la Commune A</t>
  </si>
  <si>
    <t>Nom de la Commune B</t>
  </si>
  <si>
    <t>Nom de la Commune C</t>
  </si>
  <si>
    <t>Données aprés  projet : le marché est construit dans la commune  A</t>
  </si>
  <si>
    <t xml:space="preserve">(iv) % de la population de la commune A qui habite assez loin du Projet  et  utilise un moyen de transport pour  y  arriver,  </t>
  </si>
  <si>
    <t>(v) % de la population des communes B et C qui se déplace pour s'approvisionner  du nouveau marché  se trouvant  dans la commune A</t>
  </si>
  <si>
    <t xml:space="preserve">(vi) Prix du transport aller /retour de la commune B et  de la commune C vers  le nouveau marché qui se trouve dans la commene A </t>
  </si>
  <si>
    <t xml:space="preserve">  (vii) Prix du transport aller /retour de la population de la commune A pour se deplacer vers le noveau marché </t>
  </si>
  <si>
    <t xml:space="preserve"> (viii) Nombre de déplacement au marché /an par an pour les habitants de A</t>
  </si>
  <si>
    <t xml:space="preserve">Cependant , les méthodes d'analyse économiques s’attachent beaucoup aux impacts quantifiables et pouvant être </t>
  </si>
  <si>
    <t>Les deux méthodes qui ont été utilisées pour calculer les avantages économiques de ces deux impacts sont :</t>
  </si>
  <si>
    <t>Supposons que les informations suivantes ont été collectées :</t>
  </si>
  <si>
    <t xml:space="preserve">  RENTABILITE ECONOMIQUE  DU PROJET DE CREATION D'UN MARCHE POUR LES PRODUITS LOCAUX </t>
  </si>
  <si>
    <t xml:space="preserve">Cout financier </t>
  </si>
  <si>
    <t>Total</t>
  </si>
  <si>
    <t>r</t>
  </si>
  <si>
    <t>Rentabilité économique du Projet</t>
  </si>
  <si>
    <t>Données économiques du Projet</t>
  </si>
  <si>
    <t>Population cocernée par le Projet</t>
  </si>
  <si>
    <t xml:space="preserve">(i) Main d'œuvre </t>
  </si>
  <si>
    <t>(ii) Matériaux locaux</t>
  </si>
  <si>
    <t>(iii) Matériaux importés</t>
  </si>
  <si>
    <t>(iv) Terrain</t>
  </si>
  <si>
    <t xml:space="preserve">Valeurs </t>
  </si>
  <si>
    <t xml:space="preserve"> valorisation foncière des zones limitrophes de la zone du Projet au profit de la collectivité.</t>
  </si>
  <si>
    <t>Etape 2-   Cout économique  des charges d'exploitation par nature d'activités</t>
  </si>
  <si>
    <t>Outillages</t>
  </si>
  <si>
    <t>Services publics</t>
  </si>
  <si>
    <t>Natures d'activités</t>
  </si>
  <si>
    <t>% de la main d'œuvre dans la rubrique</t>
  </si>
  <si>
    <t>Valeur foncière dans les Zones  avoisinantes du  Projet avant sa réalisation en DT/m2</t>
  </si>
  <si>
    <t xml:space="preserve"> (i) % de la population qui se déplace pour s'approvisionner d'un marché qui se trouve  dans une commune voisinante des  communes A,B et C</t>
  </si>
  <si>
    <t xml:space="preserve"> (iii) Prix du transport aller/retour de la commune A,B et C et 3 vers le  le marché qui se trouve dans la commune avoisinante ,</t>
  </si>
  <si>
    <t xml:space="preserve">Détermination des Avantages générés par la methode Disposition à payer </t>
  </si>
  <si>
    <t xml:space="preserve">Taux d'actualisation pour le calcul du VAN </t>
  </si>
  <si>
    <t>Calcul de la rentabilité financiére et économique</t>
  </si>
  <si>
    <t>Données avant la  réalisation du Projet  dans la commune  A</t>
  </si>
  <si>
    <t xml:space="preserve"> On suppose que cette enquête a fait ressortir ce qui suit :</t>
  </si>
  <si>
    <t>marché qui se trouve dans une commune avoisinante. Les frais de transport sont    à raison de 2,500 DT par passager aller/retour,</t>
  </si>
  <si>
    <t>de transport public ou privé pour joindre le nouveau marché et ce à raison de 0,800 DT par passager aller/retour</t>
  </si>
  <si>
    <r>
      <rPr>
        <b/>
        <sz val="12"/>
        <color rgb="FF000000"/>
        <rFont val="Calibri"/>
        <family val="2"/>
        <scheme val="minor"/>
      </rPr>
      <t>(i) Avant la réalisation du Projet</t>
    </r>
    <r>
      <rPr>
        <sz val="12"/>
        <color rgb="FF000000"/>
        <rFont val="Calibri"/>
        <family val="2"/>
        <scheme val="minor"/>
      </rPr>
      <t>, 10% de la population enquêtée dans ces 3 communes se déplacent 20 fois par an pour le</t>
    </r>
  </si>
  <si>
    <t>1- Avantages économiques et Taux de Rentabilité Economique (TRE)</t>
  </si>
  <si>
    <t>2- Analyse de sensibilité du   Taux de Rentabilité Economique (TRE)</t>
  </si>
  <si>
    <t xml:space="preserve">transport pour les chefs de ménages qui se déplaçaient  avant la création du Projet vers des marchés plus loin pour  </t>
  </si>
  <si>
    <t>s'approvisionner et (v) la valorisation foncière des terrains limitrophes du Projet.</t>
  </si>
  <si>
    <t xml:space="preserve">  habitants des communes Bet C et pour  une frange de la population de la commune A qui habite assez loin du Projet. </t>
  </si>
  <si>
    <t xml:space="preserve"> 34 400   habitants. Ce Projet permettra :</t>
  </si>
  <si>
    <t>Equipements locaux</t>
  </si>
  <si>
    <t xml:space="preserve">Autres </t>
  </si>
  <si>
    <t xml:space="preserve"> maintenance du matériels d'entretien  et achat d'outillages</t>
  </si>
  <si>
    <t>Charges d'entretien</t>
  </si>
  <si>
    <t>Charges d'exploitation</t>
  </si>
  <si>
    <t>Etape 1- Couts financiers des charges d'exploitation  répartits   selon les  parts qui reviennent à la main d’œuvre , aux matériaux, aux outillages, à l’entretien du matériels d’exploitation et aux charges  diverses</t>
  </si>
  <si>
    <t xml:space="preserve">Prestations de services </t>
  </si>
  <si>
    <t xml:space="preserve">Le coût des ressources de l’emprunt contracté </t>
  </si>
  <si>
    <t>Remboursement de l'emprunt</t>
  </si>
  <si>
    <t>Annuités de l'emprunt contracté</t>
  </si>
  <si>
    <t xml:space="preserve">Personnels du siége chargés de la gestion administrative,technique et financière du mrché. </t>
  </si>
  <si>
    <t>Main d'œuvre non qualifié</t>
  </si>
  <si>
    <t>% par rapport au sous/total</t>
  </si>
  <si>
    <t>Sous/total</t>
  </si>
  <si>
    <t>Fournitures</t>
  </si>
  <si>
    <t xml:space="preserve">%  des équipements importés </t>
  </si>
  <si>
    <t>%  des équipements locaux</t>
  </si>
  <si>
    <t>Sout-total</t>
  </si>
  <si>
    <t>Equipement importés</t>
  </si>
  <si>
    <t>Matériaux locaux</t>
  </si>
  <si>
    <t>Fournitures locales</t>
  </si>
  <si>
    <t>L’analyse de la rentabilité économique ou l’analyse Coûts - Avantages se fait sur la base des coûts de références ou économiques qui différent des prix financiers.</t>
  </si>
  <si>
    <t>A titre d’exemple, si on est en face d’un chômage structurel significatif et que le projet emploie des gens qui, en l’absence du Projet, seraient sans emplois, l’analyse économique appliquerait un coût du travail plus bas que le salaire versé, cette valeur reflète ainsi le coût d’opportunité du travail.</t>
  </si>
  <si>
    <t>Le principe des prix économiques est donc d’éliminer l’effet des distorsions en appliquant aux prix financiers des coefficients appropriés pour les convertir en prix économiques, appelés coefficients de conversion.</t>
  </si>
  <si>
    <t>Les coefficients de conversion considérés dans la présente évaluation</t>
  </si>
  <si>
    <t>Les investissements sont calculés sur la base des coûts des travaux de Génie civil (main d’œuvre pour les travaux de construction et la fourniture des matériaux), des équipements (importés et locaux) et des installations particulières (main d’œuvre et fournitures).</t>
  </si>
  <si>
    <r>
      <t>Pour les matériaux, les fournitures et les équipements locaux</t>
    </r>
    <r>
      <rPr>
        <sz val="12"/>
        <color rgb="FF000000"/>
        <rFont val="Calibri"/>
        <family val="2"/>
        <scheme val="minor"/>
      </rPr>
      <t xml:space="preserve">, le coefficient de conversion indique la différence entre le prix du marché pour un panier moyen de ces matériaux, de ces fournitures et de ces équipements avec le prix qui aurait prévalu s’il y avait concurrence sur le marché local. </t>
    </r>
  </si>
  <si>
    <t>En conclusion la détermination de ces coefficients nécessite des enquêtes statistiques et des calculs économétriques poussés.</t>
  </si>
  <si>
    <t>Ci-après les coefficients de conversion considérés dans le cadre de ces 3 études</t>
  </si>
  <si>
    <t>Référence de l’Etude</t>
  </si>
  <si>
    <t>Main d’œuvre</t>
  </si>
  <si>
    <t>Biens locaux</t>
  </si>
  <si>
    <t>Biens importés</t>
  </si>
  <si>
    <t>Etude (i)</t>
  </si>
  <si>
    <t>0.7</t>
  </si>
  <si>
    <t>0.8</t>
  </si>
  <si>
    <t>1.2</t>
  </si>
  <si>
    <t>Etude (ii)</t>
  </si>
  <si>
    <t>1.0</t>
  </si>
  <si>
    <t>1.1</t>
  </si>
  <si>
    <t>Etude (iii)</t>
  </si>
  <si>
    <t>1.37</t>
  </si>
  <si>
    <t>Coûts économique des  charges d'exploitation</t>
  </si>
  <si>
    <t>Frais d'entretien (% du coûts économique de l'investissement)</t>
  </si>
  <si>
    <t>Autres charges d'exploitation (% du coûts économique de l'investissement)</t>
  </si>
  <si>
    <t>Frais  du siège( personnels chargés de la gestion administrative , technique et financière du Marché), Ces frais  représentent  % du coûts économique de l'investissement)</t>
  </si>
  <si>
    <t>Taux d'augmentation annuelle des frais du siége</t>
  </si>
  <si>
    <t>Determination des  charges d'exploitation   du Projet (  coûts économique )</t>
  </si>
  <si>
    <t>Frais du siége</t>
  </si>
  <si>
    <t>Frais d'entretien</t>
  </si>
  <si>
    <t xml:space="preserve">Années </t>
  </si>
  <si>
    <t>Superfcie du terrain du Projet</t>
  </si>
  <si>
    <t xml:space="preserve">Estimation du coût unitaire  du terrain du Projet
</t>
  </si>
  <si>
    <t>Aménagement du terrain</t>
  </si>
  <si>
    <t>Aquisition fonciére</t>
  </si>
  <si>
    <t xml:space="preserve">Etudes techniques, topographiques, géothechniques  et économiques </t>
  </si>
  <si>
    <t xml:space="preserve">Bureau de contrôle et pilotage </t>
  </si>
  <si>
    <t xml:space="preserve"> *  Pour les travaux de construction</t>
  </si>
  <si>
    <t xml:space="preserve"> * Pour les installations techniques</t>
  </si>
  <si>
    <t xml:space="preserve"> * Pour les équipements et meubles ainsi que le materiels d'entretiens et de maintenances</t>
  </si>
  <si>
    <t xml:space="preserve">Pour 2020,2021 et 2022 le taux prévisionnel de l'Institut des statitiques est : </t>
  </si>
  <si>
    <t>Pour 2023 et aux dela ,  le taux projeté est de :</t>
  </si>
  <si>
    <t xml:space="preserve">                        *Année 1</t>
  </si>
  <si>
    <t xml:space="preserve">                        *Année 2</t>
  </si>
  <si>
    <t xml:space="preserve">                        *Année 3</t>
  </si>
  <si>
    <t xml:space="preserve">   * Etudes techniques et économiques et campagnes  Topo et Géotechniques:  </t>
  </si>
  <si>
    <t xml:space="preserve"> </t>
  </si>
  <si>
    <t>Imprévus physiques</t>
  </si>
  <si>
    <t>Provisions pour  hausse des prix</t>
  </si>
  <si>
    <t xml:space="preserve">Provision  hausse des prix </t>
  </si>
  <si>
    <t>Construction (travaux de génie civil, matériaux y compris les installations techniques comme  la  climatisation, le plomberie, etc ainsi que les travaux de terrassements et de revètements)</t>
  </si>
  <si>
    <t>Coefficient d'inflation</t>
  </si>
  <si>
    <t>Aménagement  du terrain du Projet</t>
  </si>
  <si>
    <t xml:space="preserve"> Acquisition du terrain du Projet</t>
  </si>
  <si>
    <t xml:space="preserve"> Autres équipements et meubles, y compris matériel d'entretien et de la maintenance</t>
  </si>
  <si>
    <t>installations complémentaires  particulières</t>
  </si>
  <si>
    <t xml:space="preserve"> Génie civil </t>
  </si>
  <si>
    <t>terrain</t>
  </si>
  <si>
    <t>Services</t>
  </si>
  <si>
    <t>Nature des entrants</t>
  </si>
  <si>
    <t>Prestation de services</t>
  </si>
  <si>
    <t xml:space="preserve">Intrants  des investissements du Projet </t>
  </si>
  <si>
    <t>Montant financier des intrants</t>
  </si>
  <si>
    <t>Montant total</t>
  </si>
  <si>
    <t xml:space="preserve"> Installations complémentaires particulières comme les branchements aux réseaux de la Sonede, la Steg , l'Onas ainsi que les équipements audio-visuelles, la connexion internet WIFI,( à remplacer tous les 10 ans)</t>
  </si>
  <si>
    <t>Autres équipements et meubles, y compirs matériel d'entretien et de la maintenance.( remplacer tous les 5 ans)</t>
  </si>
  <si>
    <t>Composantes du Projet</t>
  </si>
  <si>
    <t xml:space="preserve">Taux de Rentabilité Economique e  du projet selon l'approche Cout d'évitement  </t>
  </si>
  <si>
    <t>Installations complémentaires  particulières</t>
  </si>
  <si>
    <t>Coût total du Projet   y compris les  imprévus physiques et provisions pour hausse des prix</t>
  </si>
  <si>
    <t xml:space="preserve">  Coûts de base</t>
  </si>
  <si>
    <t xml:space="preserve">Coût total </t>
  </si>
  <si>
    <t xml:space="preserve">Coût du projet annualisé  y compris imprévus physiques et provisions pour hausse des prix </t>
  </si>
  <si>
    <t>Coût financier annualisé</t>
  </si>
  <si>
    <t>Coût  financier</t>
  </si>
  <si>
    <t>Estimation des coûts de développement du terrain ( % du coût d'acquisition)</t>
  </si>
  <si>
    <t>En effet les prix financiers observés sur le marché ne reflètent  pas toujours la valeur économique d’un bien, d’une marchandise ou d’un service auxquels ils se rapportent et ce (i) en l’absence généralement d’une concurrence pure et parfaite dans les marchés des pays en développement, (ii) la surélévation de la monnaie locale et (iii) la forte   intervention de l'Etat sous forme de toutes sortes de réglementations (taxes, subventions, aides directes /indirectes, et Politiques économiques).</t>
  </si>
  <si>
    <t>En général dans l’analyse Coûts-Avantages, les coûts du Projet comprennent les coûts d’investissement et les charges d’exploitation.</t>
  </si>
  <si>
    <t>En effet, puisque le trajet qui mène vers le nouveau Projet est plus court que celui utilisé pour aller à l'ancien marché, les dépenses  de déplacement ainsi épargnées sont des coûts évités pour la même population, elles constituent également des bénéfices  ou des Avantages économiques pour les collectivités en termes de carburant, de pollution, gain de temps  etc.</t>
  </si>
  <si>
    <t>Préambule</t>
  </si>
  <si>
    <t>Conception de l'Outil</t>
  </si>
  <si>
    <t>CONCEPTION DE L'OUTIL DE CALCUL DE RENTABILITE ECONOMIQUE</t>
  </si>
  <si>
    <t>communauté spécifique (pays, région, collectivité) indépendamment de l’origine du Capital et des bénéficiaires des revenus.</t>
  </si>
  <si>
    <t>Autres prestations</t>
  </si>
  <si>
    <t>%  Prestation de services</t>
  </si>
  <si>
    <t xml:space="preserve">Montant  total des investissements  </t>
  </si>
  <si>
    <t>Designations</t>
  </si>
  <si>
    <t>Montant des installations techniques spécialisées (% du montant de construction) à remplacer  tous les 10 ns</t>
  </si>
  <si>
    <t>coûts économique du Projet</t>
  </si>
  <si>
    <t xml:space="preserve">Coût économique  annuel du Projet  </t>
  </si>
  <si>
    <t>installations complémentaires  particulières (à remplacer tous les 10 ans)</t>
  </si>
  <si>
    <t xml:space="preserve"> Autres équipements et meubles, y compris matériel d'entretien et de la maintenance (à remplacer tous les 5 ans)</t>
  </si>
  <si>
    <t xml:space="preserve"> 1-Montant  financier des investissements  y compris imprévus et provisions pour hausse des prix</t>
  </si>
  <si>
    <t xml:space="preserve">  2-Montant   des investissements   par nature d'entrants</t>
  </si>
  <si>
    <t xml:space="preserve"> 3- Coût économique du Projet par intrants</t>
  </si>
  <si>
    <t>Les préalables  de l'Outil</t>
  </si>
  <si>
    <t>Estimation du montant de construction et des matériaux  y compris les installations techniques comme  la  climatisation, le plomberie, etc ainsi que les travaux de terrassements et de revètements</t>
  </si>
  <si>
    <t xml:space="preserve"> * Pour les travaux de construction, les installations techniques, les équipements d'entretien et de maintenances ainsi que pour les travaux d'aménagement de l'emprise du Projet et les travaux de terrassements et de revètements </t>
  </si>
  <si>
    <t xml:space="preserve"> * Pour les études techniques,économiques , les campagnes    topographiques et  géotechniques  ainsi que pour  les missions de pilotage et de contrôle</t>
  </si>
  <si>
    <t xml:space="preserve"> * Pour les acquisitions foncières et les loyers </t>
  </si>
  <si>
    <t xml:space="preserve"> * Pour les frais du personnels et les charges financières </t>
  </si>
  <si>
    <t>* Pour les frais d'entretien et autres charges</t>
  </si>
  <si>
    <t>Préambule : Objet de la Rentabilité Economique des Projets</t>
  </si>
  <si>
    <t>Modélisation de l'Outil</t>
  </si>
  <si>
    <t>Rentabilité Economique (TRE) et la Valeur Actuelle Nette (VAN).</t>
  </si>
  <si>
    <t xml:space="preserve"> Bénéfices économiques qui peuvent resulter à partir des  coûts d'évitement ou  de disposition à payer.</t>
  </si>
  <si>
    <t xml:space="preserve">%  de la Main d'œuvre </t>
  </si>
  <si>
    <t xml:space="preserve">%  du cout des matériaux </t>
  </si>
  <si>
    <t xml:space="preserve">% de  la Main d'œuvre </t>
  </si>
  <si>
    <t xml:space="preserve">% des fournitures </t>
  </si>
  <si>
    <t xml:space="preserve">%  des équipements utilisés </t>
  </si>
  <si>
    <t xml:space="preserve">6) Des  représentations  graphiques illustrants le taux de couverture du Coût Economique total du Projet ( investissement et exploitation ) par  ses Avantages </t>
  </si>
  <si>
    <t>aux prix courants (ii) les charges dexploitation directes et indirectes (iii) la répartition  du coût financier du Projet selon les parts qui reviennent à la main</t>
  </si>
  <si>
    <t xml:space="preserve"> d'œuvre , aux matériaux et fournitures, aux équipement locaux et importés ainsi qu' aux services.</t>
  </si>
  <si>
    <t>Les données fixes correspondent aux cellules colorées en rouge au niveau de la feuille-3- Données de base-, elles  sont fournis par l'Outil</t>
  </si>
  <si>
    <t xml:space="preserve">du Projet annualisé, base de calcul de  la VAN et du  TRE </t>
  </si>
  <si>
    <t xml:space="preserve">iii) La différence annuelle  entre les Bénéfices du Projet  et de  ses  Coûts économiques d'investissement et d’exploitation   constitue l'Avantage Economique  Net </t>
  </si>
  <si>
    <t>couverture du coûts économique total du Projet par ses avantages économiques</t>
  </si>
  <si>
    <t>L'outil comprend deux types des données , des données variables et des données fixes.</t>
  </si>
  <si>
    <t>L'outil génèrera les aouts-put suivants:</t>
  </si>
  <si>
    <t>1) Les montants financiers des investissements et des charges d'exploitation,</t>
  </si>
  <si>
    <t>2) Les Coûts Economiques  des investissements et des charges d'explotation ,</t>
  </si>
  <si>
    <t>3) Les Bénéfices Economiques du Projet résultants des coûts d'évitements et de la disposition à payer,</t>
  </si>
  <si>
    <t>4) Les Avantages  Economiques  Nets  du Projet annualisés  résultants des coûts d'évitements et de la disposition à payer,</t>
  </si>
  <si>
    <t>5) La VAN et le TRE économiques,</t>
  </si>
  <si>
    <t>Economiques Nets.</t>
  </si>
  <si>
    <t>DONNEES DE BASE DE CALCUL DE RENTABILITE ECONOMIQUE</t>
  </si>
  <si>
    <t>Population de ou des  Communes du Projet</t>
  </si>
  <si>
    <t>Population</t>
  </si>
  <si>
    <t>Accroissement %/an</t>
  </si>
  <si>
    <t xml:space="preserve">Nature des données </t>
  </si>
  <si>
    <t>Ratio en %</t>
  </si>
  <si>
    <t>Echancier de réalisation du Projet</t>
  </si>
  <si>
    <t xml:space="preserve">Décomposition   du coût de construction en:                         </t>
  </si>
  <si>
    <t xml:space="preserve">Décomposition   du coût des installations complémentaires  en:  </t>
  </si>
  <si>
    <t>Décomposition  du  coût des autres équipements et meubles, y compris matériel d'entretien et de la maintenance en :</t>
  </si>
  <si>
    <t>Décomposition du coût des travaux d'aménagement du terrain  en  :</t>
  </si>
  <si>
    <t>Etudes techniques et Economiques, Contrôle et Pilotage, terrain etc. en:</t>
  </si>
  <si>
    <t>La main d'œuvre</t>
  </si>
  <si>
    <t>Les  matériaux , les fournitures et les  équipements  locaux</t>
  </si>
  <si>
    <t>Les matériaux et  les  équipements importés</t>
  </si>
  <si>
    <t>Les  services   ( études, pilotage, topographies, géotechniques etc. ).</t>
  </si>
  <si>
    <t>Acquisition du terrain  du Projet</t>
  </si>
  <si>
    <t xml:space="preserve">Détermination des Avantages générés par la méthode du cout d'évitement </t>
  </si>
  <si>
    <t>Coefficient de conversion  des coûts financiers en des coûts économiques pour :</t>
  </si>
  <si>
    <t>Valeurs</t>
  </si>
  <si>
    <t>Superficie</t>
  </si>
  <si>
    <t>Montant en DTN</t>
  </si>
  <si>
    <t xml:space="preserve">Fournitures locales </t>
  </si>
  <si>
    <t xml:space="preserve">    </t>
  </si>
  <si>
    <t>Coût  économique total des charges d'exploitation  en DTN</t>
  </si>
  <si>
    <t>Conversion des Coûts financiers en  des Coûts économiques</t>
  </si>
  <si>
    <t>Ces coûts seront convertis en coûts économiques par l’application des coefficients de conversion appropriés qui se rapportent (i) à la main d’œuvre non qualifiée, (ii) aux matériaux et fournitures locaux , (iii) aux équipements locaux et (iv) aux équipements importés.</t>
  </si>
  <si>
    <r>
      <t>Pour la main d’œuvre non qualifiée</t>
    </r>
    <r>
      <rPr>
        <sz val="12"/>
        <color rgb="FF000000"/>
        <rFont val="Calibri"/>
        <family val="2"/>
        <scheme val="minor"/>
      </rPr>
      <t xml:space="preserve">, le coefficient de conversion exprime la différence entre le salaire du marché et le Salaire Minimum Interprofessionnel Garantit (SMIG) arrêté en commun accord entre le gouvernement  Tunisien et les partenaires sociaux. </t>
    </r>
  </si>
  <si>
    <t>Une revue bibliographique de certaines études économiques réalisées en Tunisie ont permis de constater que les coefficients de la main d'œuvre non qualifiée et les bien locaux sont quasiment constants alors  que le coefficient  des bien importés varie en fonction du taux de change de la monnaie locale par rapport aux devises étrangères.</t>
  </si>
  <si>
    <t xml:space="preserve">Les trois études qui ont fait l’objet de la revue bibliographiques sont les suivantes (i) Evaluation économique des Programmes d’Investissements Urbains réalisée par  un groupe de professeurs universitaire en 2000 (ii) Etude économique du Projet de réhabilitation du système d’évacuation des eaux traitées vers la mer, réalisée en 2010 par A. Zouari, ex- ministre de Développement et (iii) l'Etude de modélisation financière et économique du Projet d’actualisation du Schéma Directeur D’assainissement du Grand Tunis réalisée en 2013 par le Cabinet Merlin. </t>
  </si>
  <si>
    <t>Coût  économique du Projet</t>
  </si>
  <si>
    <t>Coût  économique des charges d'exploitation</t>
  </si>
  <si>
    <t xml:space="preserve">Pour la présente étude, il a été appliqué:  </t>
  </si>
  <si>
    <t>Par conséquent le coefficient de conversion des  biens locaux est de 0,82</t>
  </si>
  <si>
    <r>
      <t>ü</t>
    </r>
    <r>
      <rPr>
        <sz val="7"/>
        <color rgb="FF000000"/>
        <rFont val="Times New Roman"/>
        <family val="1"/>
      </rPr>
      <t xml:space="preserve">  </t>
    </r>
    <r>
      <rPr>
        <sz val="12"/>
        <color rgb="FF000000"/>
        <rFont val="Calibri"/>
        <family val="2"/>
        <scheme val="minor"/>
      </rPr>
      <t xml:space="preserve">Un facteur de conversion de  2,24 pour les biens importés  </t>
    </r>
    <r>
      <rPr>
        <b/>
        <sz val="12"/>
        <color rgb="FF000000"/>
        <rFont val="Calibri"/>
        <family val="2"/>
        <scheme val="minor"/>
      </rPr>
      <t>(3*)</t>
    </r>
    <r>
      <rPr>
        <sz val="12"/>
        <color rgb="FF000000"/>
        <rFont val="Calibri"/>
        <family val="2"/>
        <scheme val="minor"/>
      </rPr>
      <t xml:space="preserve">. </t>
    </r>
  </si>
  <si>
    <r>
      <t>ü</t>
    </r>
    <r>
      <rPr>
        <sz val="7"/>
        <color rgb="FF000000"/>
        <rFont val="Times New Roman"/>
        <family val="1"/>
      </rPr>
      <t xml:space="preserve">  </t>
    </r>
    <r>
      <rPr>
        <sz val="12"/>
        <color rgb="FF000000"/>
        <rFont val="Calibri"/>
        <family val="2"/>
        <scheme val="minor"/>
      </rPr>
      <t xml:space="preserve">Un facteur de conversion de 0,89 pour les études, le pilotage des Projets  et les campagnes topographiques et géotechniques après déduction de la TVA </t>
    </r>
    <r>
      <rPr>
        <b/>
        <sz val="12"/>
        <color rgb="FF000000"/>
        <rFont val="Calibri"/>
        <family val="2"/>
        <scheme val="minor"/>
      </rPr>
      <t>(2*),</t>
    </r>
  </si>
  <si>
    <r>
      <t>ü</t>
    </r>
    <r>
      <rPr>
        <sz val="7"/>
        <color rgb="FF000000"/>
        <rFont val="Times New Roman"/>
        <family val="1"/>
      </rPr>
      <t xml:space="preserve">   </t>
    </r>
    <r>
      <rPr>
        <sz val="12"/>
        <color rgb="FF000000"/>
        <rFont val="Calibri"/>
        <family val="2"/>
        <scheme val="minor"/>
      </rPr>
      <t>un facteur de conversion de 0,80 pour la main d’œuvre non qualifiée,</t>
    </r>
  </si>
  <si>
    <r>
      <t>ü</t>
    </r>
    <r>
      <rPr>
        <sz val="7"/>
        <color rgb="FF000000"/>
        <rFont val="Times New Roman"/>
        <family val="1"/>
      </rPr>
      <t xml:space="preserve">  </t>
    </r>
    <r>
      <rPr>
        <sz val="12"/>
        <color rgb="FF000000"/>
        <rFont val="Calibri"/>
        <family val="2"/>
        <scheme val="minor"/>
      </rPr>
      <t xml:space="preserve">Un facteur de conversion 0,82 pour les biens locaux après déduction de  la TVA et de  la main d'œuvre  </t>
    </r>
    <r>
      <rPr>
        <b/>
        <sz val="12"/>
        <color rgb="FF000000"/>
        <rFont val="Calibri"/>
        <family val="2"/>
        <scheme val="minor"/>
      </rPr>
      <t>(1*),</t>
    </r>
  </si>
  <si>
    <r>
      <t>Pour les équipements importés</t>
    </r>
    <r>
      <rPr>
        <sz val="12"/>
        <color rgb="FF000000"/>
        <rFont val="Calibri"/>
        <family val="2"/>
        <scheme val="minor"/>
      </rPr>
      <t>, le coefficient de conversion indique le coût d’opportunité des devises et traduit le taux qui serait appliqué s’il y avait une liberté de change.</t>
    </r>
  </si>
  <si>
    <t xml:space="preserve"> coefficient de passage en coût hors TVA   de 1/(1+13%)=0,885. Le coefficient de conversion pour les services est de 0,89</t>
  </si>
  <si>
    <r>
      <rPr>
        <b/>
        <sz val="12"/>
        <color theme="1"/>
        <rFont val="Calibri"/>
        <family val="2"/>
        <scheme val="minor"/>
      </rPr>
      <t>(2*)</t>
    </r>
    <r>
      <rPr>
        <sz val="12"/>
        <color theme="1"/>
        <rFont val="Calibri"/>
        <family val="2"/>
        <scheme val="minor"/>
      </rPr>
      <t xml:space="preserve"> Ce facteur est calculé sur la base de 13% comme TVA pour les services. En déduisant le montant de la TVA on aura un</t>
    </r>
  </si>
  <si>
    <t xml:space="preserve">une extrapolation linéaire en fonction du taux de change actuel (1 Euro=3.215 DT) aboutit à un taux de conversion </t>
  </si>
  <si>
    <t>des biens importés de 2.24</t>
  </si>
  <si>
    <r>
      <rPr>
        <b/>
        <sz val="11"/>
        <color theme="1"/>
        <rFont val="Calibri"/>
        <family val="2"/>
        <scheme val="minor"/>
      </rPr>
      <t>(</t>
    </r>
    <r>
      <rPr>
        <b/>
        <sz val="12"/>
        <color theme="1"/>
        <rFont val="Calibri"/>
        <family val="2"/>
        <scheme val="minor"/>
      </rPr>
      <t>1*)</t>
    </r>
    <r>
      <rPr>
        <sz val="12"/>
        <color theme="1"/>
        <rFont val="Calibri"/>
        <family val="2"/>
        <scheme val="minor"/>
      </rPr>
      <t xml:space="preserve">  Ce facteur est calculé sur la base de 40% du coût des biens locaux revient à la main d'œuvre et 60% revient aux </t>
    </r>
  </si>
  <si>
    <t xml:space="preserve">(sachant que 0,8 est le coefficient de conversion pour la main d'œuvre et 19% le taux du TVA pour les biens). </t>
  </si>
  <si>
    <r>
      <rPr>
        <b/>
        <sz val="12"/>
        <color theme="1"/>
        <rFont val="Calibri"/>
        <family val="2"/>
        <scheme val="minor"/>
      </rPr>
      <t>(3*)</t>
    </r>
    <r>
      <rPr>
        <sz val="12"/>
        <color theme="1"/>
        <rFont val="Calibri"/>
        <family val="2"/>
        <scheme val="minor"/>
      </rPr>
      <t xml:space="preserve"> Le taux de conversion adopté par l’étude (iii) a été calculé sur la base du taux de change du 30/11/2011  (</t>
    </r>
    <r>
      <rPr>
        <sz val="11"/>
        <color theme="1"/>
        <rFont val="Calibri"/>
        <family val="2"/>
        <scheme val="minor"/>
      </rPr>
      <t>1 Euro=1.963 DT) ,</t>
    </r>
  </si>
  <si>
    <t>Les bénéfices économiques du Projet seront évaluées comme étant des coûts évités de déplacement de la population des communes A, B et C pour s’approvisionner d’un marché municipal situé dans une commune limitrophe lorsque le nouveau marché (objet du présent Projet  prévu  dans la commune A ) devient opérationnel.</t>
  </si>
  <si>
    <t>Pour quantifier ces bénéfices, il y a lieu de faire une enquête socio-économique pour estimer le pourcentage de la population  des communes A, B et C qui se déplace vers le marché existant, la fréquence de leurs déplacements, les frais de transport ,de savoir également la disposition de la population des communes B et C pour se déplacer vers le nouveau marché etc.</t>
  </si>
  <si>
    <t>L'ensemble des communes</t>
  </si>
  <si>
    <t xml:space="preserve"> (ix) Nombre de déplacement au marché  par an pour les habitants de B etC</t>
  </si>
  <si>
    <t xml:space="preserve"> (x) Nombre de déplacement au marché  par an pour les habitants de A</t>
  </si>
  <si>
    <r>
      <rPr>
        <b/>
        <sz val="12"/>
        <color rgb="FF000000"/>
        <rFont val="Calibri"/>
        <family val="2"/>
        <scheme val="minor"/>
      </rPr>
      <t>(ii) Après la réalisation du Projet</t>
    </r>
    <r>
      <rPr>
        <sz val="12"/>
        <color rgb="FF000000"/>
        <rFont val="Calibri"/>
        <family val="2"/>
        <scheme val="minor"/>
      </rPr>
      <t>, 10% des habitants   enquêtés dans les communes B et C sont disposés à s'approvisionner  du nouveau marché situé dans la commune A vue qu'il est plus proche. Les nouveaux frais de déplacement  avec des moyens de transport public ou privé s'élèvent à 1,500 DT par passager aller/retour.</t>
    </r>
  </si>
  <si>
    <r>
      <rPr>
        <b/>
        <sz val="12"/>
        <color rgb="FF000000"/>
        <rFont val="Calibri"/>
        <family val="2"/>
        <scheme val="minor"/>
      </rPr>
      <t>(iii)</t>
    </r>
    <r>
      <rPr>
        <sz val="12"/>
        <color rgb="FF000000"/>
        <rFont val="Calibri"/>
        <family val="2"/>
        <scheme val="minor"/>
      </rPr>
      <t xml:space="preserve"> 5% des habitants  enquêtés de la commune A habitent assez loin du nouveau marché vont utiliser des moyens   </t>
    </r>
  </si>
  <si>
    <t>Avantages économiques  du Projet</t>
  </si>
  <si>
    <t>Bénéfices économiques  du Projet</t>
  </si>
  <si>
    <t>Coûts économiques  totaux</t>
  </si>
  <si>
    <t xml:space="preserve"> Bénéfices  Economiques  du Projet   selon  la méthode "Coût d'évitement"</t>
  </si>
  <si>
    <t xml:space="preserve">Généralement avec l’achèvement des travaux, le site du projet sera connecté aux réseaux de la voierie urbaine de la ville et   </t>
  </si>
  <si>
    <t>desservit de réseaux d'eaux potables, d'éclairages publics et éventuellement par des ouvrages d'assainissement et de drainage.</t>
  </si>
  <si>
    <t xml:space="preserve">Ces infrastructures ainsi que les activités qui seront lancées en parallèle avec le projet vont contribuer à la valorisation foncière des      </t>
  </si>
  <si>
    <t xml:space="preserve">terrains qui lui sont limitrophes. En ce moment   la loi de l'offre et de la demande serait la règle et le phénomène de la disposition      </t>
  </si>
  <si>
    <t>à payer  des prix d'acquisitions assez élevés se manifeste.</t>
  </si>
  <si>
    <t>L'évaluation de ces bénéfices nécessite une connaissance parfaite du niveau du prix des terrains dans des conditions similaires.</t>
  </si>
  <si>
    <t xml:space="preserve"> A ce titre, il y à lieu de   comparer le prix du terrain de la nouvelle zone du projet à celui d’une zone ayant le même contexte </t>
  </si>
  <si>
    <t xml:space="preserve"> dans une commune avoisinante. </t>
  </si>
  <si>
    <t>Les informations sur les prix pourront être obtenues à travers des enquêtes auprès d’agences immobilières locales ou régionales.</t>
  </si>
  <si>
    <t xml:space="preserve">(I) Avant les travaux le prix  du m2   dans la zone du Projet varie  entre 20 et 30 DT soit une moyenne de 25 DT/m2, </t>
  </si>
  <si>
    <t xml:space="preserve">(II)  Le prix du m2 dans une zone similaire dans une commune avoisinante est en moyenne de 60 DT/m2, </t>
  </si>
  <si>
    <t>des habitants de la région, d’augmenter les recettes fiscales de la commune etc.</t>
  </si>
  <si>
    <t>et  Analyse  de sensibilité   du TRE</t>
  </si>
  <si>
    <t>Taux de Rentabilité Eonomique  du Projet selon     l'approche" Coût d'Evitement"</t>
  </si>
  <si>
    <t xml:space="preserve">Cout économique des charges d'exploitation  en  2023 </t>
  </si>
  <si>
    <t>Cout Economique du Projet</t>
  </si>
  <si>
    <t xml:space="preserve">Bénéfice économique du projet </t>
  </si>
  <si>
    <t xml:space="preserve">Avantage économique du projet </t>
  </si>
  <si>
    <t>Paramètres économique du Projet</t>
  </si>
  <si>
    <t xml:space="preserve">Cout économique des investissements initiaux </t>
  </si>
  <si>
    <t xml:space="preserve">Cout économique des investissements de remplacement </t>
  </si>
  <si>
    <t>Sous  total</t>
  </si>
  <si>
    <t xml:space="preserve">Charges  d'exploitations   en coûts économiques  </t>
  </si>
  <si>
    <t>Coût  du projet  en coûts économiques</t>
  </si>
  <si>
    <t>VAN</t>
  </si>
  <si>
    <t>Valeur Actuelle  Nette ( VAN)</t>
  </si>
  <si>
    <t xml:space="preserve">Le Projet  de construction d'un marché pour les produits agricoles et d'artisanats sera réalisé dans la commune  A qui compte </t>
  </si>
  <si>
    <t xml:space="preserve">Les principaux indicateurs d’évaluation  de rentabilité économique des projets sont La Valeur Actuelle Nette économique (la VAN Economique) et </t>
  </si>
  <si>
    <t>économiques (Capital investit et Charges de fonctionnement) qui lui sont liés. Les méthodes les plus utilisés  pour faire cette analyse sont  :</t>
  </si>
  <si>
    <t>§ La méthode de la disposition à payer (willingness to pay) et ,</t>
  </si>
  <si>
    <t>§ La méthode du coût d’évitement (Avoidcostmethod)</t>
  </si>
  <si>
    <r>
      <t>L’Analyse Coût</t>
    </r>
    <r>
      <rPr>
        <sz val="12"/>
        <color rgb="FF000000"/>
        <rFont val="Calibri"/>
        <family val="2"/>
      </rPr>
      <t> </t>
    </r>
    <r>
      <rPr>
        <b/>
        <sz val="12"/>
        <color rgb="FF000000"/>
        <rFont val="Calibri"/>
        <family val="2"/>
      </rPr>
      <t>/ Avantage (ACA)</t>
    </r>
    <r>
      <rPr>
        <sz val="12"/>
        <color rgb="FF000000"/>
        <rFont val="Calibri"/>
        <family val="2"/>
      </rPr>
      <t xml:space="preserve"> est une méthode d’analyse économique pour voir si les Avantages du Projet sont plus élevés que les coûts  </t>
    </r>
  </si>
  <si>
    <r>
      <t>1)</t>
    </r>
    <r>
      <rPr>
        <sz val="7"/>
        <color theme="1"/>
        <rFont val="Calibri"/>
        <family val="2"/>
      </rPr>
      <t xml:space="preserve">    </t>
    </r>
    <r>
      <rPr>
        <sz val="11"/>
        <color theme="1"/>
        <rFont val="Calibri"/>
        <family val="2"/>
      </rPr>
      <t>L'identification des avantages économiques quantifiables du Projet ,</t>
    </r>
  </si>
  <si>
    <r>
      <t>2)</t>
    </r>
    <r>
      <rPr>
        <sz val="7"/>
        <color theme="1"/>
        <rFont val="Calibri"/>
        <family val="2"/>
      </rPr>
      <t xml:space="preserve">    </t>
    </r>
    <r>
      <rPr>
        <sz val="12"/>
        <color theme="1"/>
        <rFont val="Calibri"/>
        <family val="2"/>
      </rPr>
      <t>La conception d'une méthode de calcul des bénéfices économiques du Projet  résultants des coûts d'évitements,</t>
    </r>
  </si>
  <si>
    <t xml:space="preserve">ii) L'Analyse  Coûts/Avantage prend en considération le  coûts du Projet y compris les  charges d'exploitation convertis en des  coûts économiques ainsi que les   </t>
  </si>
  <si>
    <r>
      <t>iv) L'Outil procédera à l'actualisation de l'Avantage économique du Projet pour en calculer   la VAN et le TRE et présentera  une illustration graphique du taux de</t>
    </r>
    <r>
      <rPr>
        <sz val="12"/>
        <color rgb="FF000000"/>
        <rFont val="Calibri"/>
        <family val="2"/>
      </rPr>
      <t xml:space="preserve"> </t>
    </r>
  </si>
  <si>
    <r>
      <rPr>
        <b/>
        <sz val="12"/>
        <color theme="1"/>
        <rFont val="Calibri"/>
        <family val="2"/>
      </rPr>
      <t>Les données variables</t>
    </r>
    <r>
      <rPr>
        <sz val="12"/>
        <color theme="1"/>
        <rFont val="Calibri"/>
        <family val="2"/>
      </rPr>
      <t xml:space="preserve"> sont relatives d'une part au  Projet  dont notamment (i)  la superficie du terrain   réservée au Projet, (ii)  le coût  des travaux de  </t>
    </r>
  </si>
  <si>
    <r>
      <rPr>
        <b/>
        <sz val="12"/>
        <rFont val="Calibri"/>
        <family val="2"/>
      </rPr>
      <t>Les données  fixes</t>
    </r>
    <r>
      <rPr>
        <sz val="12"/>
        <rFont val="Calibri"/>
        <family val="2"/>
      </rPr>
      <t xml:space="preserve"> sont de deux types :</t>
    </r>
  </si>
  <si>
    <r>
      <t>Type  1</t>
    </r>
    <r>
      <rPr>
        <sz val="12"/>
        <rFont val="Calibri"/>
        <family val="2"/>
      </rPr>
      <t xml:space="preserve"> : des ratios en % qui  permettent à partir d'une évaluation réaliste du montant des travaux de construction  d'estimer (I) le coût financier du projet </t>
    </r>
  </si>
  <si>
    <r>
      <rPr>
        <i/>
        <u/>
        <sz val="12"/>
        <rFont val="Calibri"/>
        <family val="2"/>
      </rPr>
      <t>Type 2 :</t>
    </r>
    <r>
      <rPr>
        <i/>
        <sz val="12"/>
        <rFont val="Calibri"/>
        <family val="2"/>
      </rPr>
      <t xml:space="preserve"> </t>
    </r>
    <r>
      <rPr>
        <sz val="12"/>
        <rFont val="Calibri"/>
        <family val="2"/>
      </rPr>
      <t>des coefficients qui permettent de convertir les coûts financiers en des coûts économiques.</t>
    </r>
  </si>
  <si>
    <t xml:space="preserve">La rentabilité économique a pour objet la  mesure des effets d’un projet sur le bien-être social, économique, environnemental etc. et ce  pour une </t>
  </si>
  <si>
    <t>le Taux de Rentabilité Économique ( le TRE Economique)</t>
  </si>
  <si>
    <t xml:space="preserve">i) L'outil est conçu pour produire les deux indicateurs clés de rentabilité économique du Projet selon la méthode d'Analyse Coûts/Avantage à savoir le Taux de  </t>
  </si>
  <si>
    <t>Ces données correspondent aux cellules colorées en vert au niveau de la" feuille -3- Données de base-" qui sont à remplir par l'utilisateur</t>
  </si>
  <si>
    <t>Paramètres économiques du Projet</t>
  </si>
  <si>
    <t>Couts Economiques du Projet</t>
  </si>
  <si>
    <t xml:space="preserve">Bénéfices économiques du projet </t>
  </si>
  <si>
    <t xml:space="preserve">Avantages économiques du projet </t>
  </si>
  <si>
    <t>عدد السكان المتواجدين بالبلديات المعنية بالمشروع</t>
  </si>
  <si>
    <t>اسم البلدية  الاولى</t>
  </si>
  <si>
    <t>اسم االبلدية الثانية</t>
  </si>
  <si>
    <t>اسم البلدية الثالثة</t>
  </si>
  <si>
    <t>المجموع</t>
  </si>
  <si>
    <t>المساحة اللازمة لانجاز المشروع</t>
  </si>
  <si>
    <t>الكلفة التقديرية للمتر المربع الواحد</t>
  </si>
  <si>
    <t>تقدير كلفة تهيئة المساحة المخصصة للمشروع بحساب 10% من كلفة الشراء</t>
  </si>
  <si>
    <t xml:space="preserve">تقدير كلفة  المعدات الفنية الخصوصية  كعمليات الربط بالشبكات العمومية للمياه والكهرباء والتطهير وغيرها   ( هذه الكلفة  تمثل نسبة مئوية من تكاليف الاشغال المدنية)                                      </t>
  </si>
  <si>
    <t>Estimation du  montant des toutes autres équipements et meubles, y compirs matériel d'entretien et de la maintenance.(% du montant des travaux de construction)</t>
  </si>
  <si>
    <t xml:space="preserve">تقدير كلفة  التجهيزات  الأخرى والاثاث بما  في ذلك معدات  الاستغلال والصيانة   ( هذه الكلفة تمثل نسبة مئوية من تكاليف الاشغال المدنية) .                                                </t>
  </si>
  <si>
    <t xml:space="preserve">تقدير كلفة الدراسات الفنية والاقتصادية والاشغال التوبوغرافية  والجيوفنية ( هذه الكلفة تمثل نسبة مئوية من تكاليف الاشغال المدنية والمعدات الفنية الخصوصية والتجهيزات  الأخرى والاثاث بما  في ذلك معدات  الاستغلال والصيانة </t>
  </si>
  <si>
    <t>تقدير كلفة  خدمات المراقبة والتسيير ( هذه الكلفة تمثل نسبة  مئوية من تكاليف الاشغال المدنية والمعدات الفنية الخصوصية والتجهيزات  الأخرى والاثاث بما  في ذلك معدات  الاستغلال والصيانة )</t>
  </si>
  <si>
    <t>المدخرات للطوارئ الفنية  وهي تمثل   نسبة  مئوية من تكاليف الاشغال المدنية والمعدات الفنية الخصوصية والتجهيزات  الأخرى والاثاث بما  في ذلك معدات  الاستغلال والصيانة . هذه النسبة تم تقديرها كما يلي :</t>
  </si>
  <si>
    <t>المدخرات المالية  لمجابهة ارتفاع الاسعار وقد تم احتسابها بالاعتماد على  مؤشر التضخم المالي وقد بلغ هذا المؤشر نسبة 6,7% سنة 2019 حسب المعهد الوطني للإحصاء</t>
  </si>
  <si>
    <t>ومن المؤمل   ان يبلغ  حجم هذا المؤشر  5,3 %  خلال سنوات 2020 و2021 و2022</t>
  </si>
  <si>
    <t>ومن المنتظر  ان يستقر حجم هذا المؤشر  في حدود  5% سنة 2023 وما يليها</t>
  </si>
  <si>
    <t xml:space="preserve">القيمة المضافة على الاشغال والمعدات واشغال التهيئة والحفر والتسطيح  </t>
  </si>
  <si>
    <t>القيمة المضافة علىى الدراسات  الفنية والاقتصادية والخدمات الطبوغرافية والجيوفنية والتسيير والمراقبة</t>
  </si>
  <si>
    <t>القيمة المضافة على ااقتناء الأراضي  و معلوم الكراء</t>
  </si>
  <si>
    <t>القيمة المضافة على الأجور  وعلى خدمة الدين</t>
  </si>
  <si>
    <t>القيمة المضافة على عمليات الصيانة والنفقات  الأخرى</t>
  </si>
  <si>
    <t>اقتناء وتهيئة الأرض المخصصة للمشروع</t>
  </si>
  <si>
    <t>السنة الأولى</t>
  </si>
  <si>
    <t>السنة الثانية</t>
  </si>
  <si>
    <t>السنة الثالثة</t>
  </si>
  <si>
    <t>الدراسات الفنية والقتصادية  والاشغال الطوبوغرافية والجيوفنية</t>
  </si>
  <si>
    <t>الاشغال المدنية</t>
  </si>
  <si>
    <t>تجهيزات اضافية خاصة</t>
  </si>
  <si>
    <t>معدات وتجهيزات الاستغلال والصيانة</t>
  </si>
  <si>
    <t xml:space="preserve">المراقبة وتسيير الاشغال </t>
  </si>
  <si>
    <t xml:space="preserve"> النسبة المئوية  من الكلفة الراجعة لليد العاملة   </t>
  </si>
  <si>
    <t xml:space="preserve"> النسبة المئوية  من الكلفة الراجعة للمواد   </t>
  </si>
  <si>
    <t xml:space="preserve"> النسبة المئوية  من الكلفة الراجعة للادوات  </t>
  </si>
  <si>
    <t xml:space="preserve"> النسبة المئوية  من الكلفة الراجعة للتجهيزات المستوردة   </t>
  </si>
  <si>
    <t xml:space="preserve"> النسبة المئوية  من الكلفة الراجعة للتجهيزات المحلية  </t>
  </si>
  <si>
    <t xml:space="preserve"> النسبة المئوية  من الكلفة الراجعة لليد العاملة  </t>
  </si>
  <si>
    <t xml:space="preserve"> النسبة المئوية  من الكلفة الراجعة للمعدات التي تم استعمالها  </t>
  </si>
  <si>
    <t xml:space="preserve">اليد  العاملة </t>
  </si>
  <si>
    <t>المواد و الأدوات والمعدات المحلية</t>
  </si>
  <si>
    <t>المواد والتجهيزات المستوردة</t>
  </si>
  <si>
    <t>الخدمات ( الدراسات التسيير والمراقبة والاشغال  الطبوغرافية والجيوفنية</t>
  </si>
  <si>
    <t>اقتناء الأراضي</t>
  </si>
  <si>
    <t>النسبة المئوية من الأشخاص الذين يتزودون من سوق بلدي متواجد ببلدية مجاورة</t>
  </si>
  <si>
    <t xml:space="preserve">عدد التنقلات السنوية  للسوق </t>
  </si>
  <si>
    <t xml:space="preserve">ثمن التنقلات ذهاب واياب  من البلديات الثلاثة ا لى السوق </t>
  </si>
  <si>
    <t>معطيات قبل انجاز المشروع</t>
  </si>
  <si>
    <t>معطيات بعد  انجاز المشروع</t>
  </si>
  <si>
    <t>النسبة المئوية من متساكني البلدية A يقطنون بعيدا عن السوق الجديد ويستعملون وسيلة نقل عمومي او خاص</t>
  </si>
  <si>
    <t xml:space="preserve">النسبة المئوية من الأشخاصمن بلديتي ي B وc   يتزودون من ا السوق الجديد ببلدية A </t>
  </si>
  <si>
    <t>ثمن التنقلات ذهاب واياب  من بلديتي   B وc  الى السوق الجديد ببلدية A</t>
  </si>
  <si>
    <t xml:space="preserve">ثمن التنقلات ذهاب واياب  سكان بلدية   A    للذهاب الى السوق الجديد </t>
  </si>
  <si>
    <t xml:space="preserve">عدد التنقلات السنوية  للسوق لمتساكني بلديتي  B وc </t>
  </si>
  <si>
    <t xml:space="preserve">عدد التنقلات السنوية  للسوق لمتساكني بلدية   A </t>
  </si>
  <si>
    <t>مساحة الأراضي المخصصة للبيع</t>
  </si>
  <si>
    <t>ثمن الأراضي في المناطق المحاذية للسوق الجديد قبل عملية البناء</t>
  </si>
  <si>
    <t>القيمة العقارية للأراضي المحاذية للأسواق بالبلديات المجاورة</t>
  </si>
  <si>
    <t xml:space="preserve">النسبة السنوية لتطور اعباء الاعوان المكلفين بالمشروع </t>
  </si>
  <si>
    <t>تكاليف الصيانة والتعهد  ( نسبة مئوية من حجم الاستثمارات )</t>
  </si>
  <si>
    <t>اعباء الاستغلال الاخرى ( نسبة مئوية من حجم الاستثمارات)</t>
  </si>
  <si>
    <t>تكاليف الادارة</t>
  </si>
  <si>
    <t>نوعية المعطيات</t>
  </si>
  <si>
    <t xml:space="preserve"> تقديرت كلفة الاشغال   -باعتبار  الاشغال الفنية      </t>
  </si>
  <si>
    <t>اامخطط الزمني  لانجاز المشروع</t>
  </si>
  <si>
    <t>الضارب لتحويل التكاليف المالية الى تكاليف اقتصادية</t>
  </si>
  <si>
    <t>تقدير المميزات الاقتصادية للمشروع حسب الطريقة التي تعتمد  على احتساب تكلفة تجنب الطرق العادية</t>
  </si>
  <si>
    <t xml:space="preserve">تقدير المميزات الاقتصادية للمشروع حسب الطريقة التي تعتمد  على استعداد الفاعل الاقتصادي لتفعيل قانون الطلب والعرض </t>
  </si>
  <si>
    <t>تقديرالتكاليف الاقتصادية  لاستغلال المشروع</t>
  </si>
  <si>
    <t>نسب الأداء على القيمة المضافة المعمول بها حاليا حسب قانون المالية</t>
  </si>
  <si>
    <t>Les études techniques et économiques ainsi que   les campagnes topographiques et géotechniques  représentent 9,5%  du coût des constructions et  des installations complémentaires  particulières  ainsi que celui des équipements et meubles y compris matériels d'entretien et de maintenance)</t>
  </si>
  <si>
    <t>Les prestations de contrôles  et de  pilotages représentent 4,5% du coût des  études, des constructions et  des installations complémentaires ainsi que celui des  autres  équipements et meubles y compris matériels d'entrtien et de maintenance.</t>
  </si>
  <si>
    <t>Provision pour Imprévus physiques: ( %  du coût des travaux de  constructions et  des installations complémentaires particulières  ainsi que celui  des équipements et meubles y compris matériels  de maintenance et d'entretien) estimé  comme suit:</t>
  </si>
  <si>
    <t xml:space="preserve">توزيع  كلفة الاشغال المدنية  حسب  النسب الراجعة لليد العاملة   والمواد </t>
  </si>
  <si>
    <t>توزيع  كلفة االمعدات حسب  النسب الراجعة لليد العاملة   والأدوات</t>
  </si>
  <si>
    <t>توزيع  كلفة التجهيزات  حسب  النسب الراجعة ما هو مستورد و ما هو محلي</t>
  </si>
  <si>
    <t>توزيع  كلفة تهئية موقع المشروع حسب ما هو راجع لليد العاملة  و المعدات التي تم استعمالها</t>
  </si>
  <si>
    <t xml:space="preserve"> النسبة المئوية  من الكلفة الراجعة للخدمات </t>
  </si>
  <si>
    <t>الدراسات الفنية والاقتصادية والمراقبة غيرها</t>
  </si>
  <si>
    <t>الكلفة المالية للمشروع</t>
  </si>
  <si>
    <r>
      <t>(a)  la méthode Cout d'évitement</t>
    </r>
    <r>
      <rPr>
        <sz val="12"/>
        <color theme="1"/>
        <rFont val="Calibri"/>
        <family val="2"/>
        <scheme val="minor"/>
      </rPr>
      <t xml:space="preserve">  ( Avoid Cost Method) qui mesure les bénéfices par les dommages à éviter </t>
    </r>
  </si>
  <si>
    <r>
      <rPr>
        <b/>
        <sz val="12"/>
        <color theme="1"/>
        <rFont val="Calibri"/>
        <family val="2"/>
        <scheme val="minor"/>
      </rPr>
      <t>(b)  la méthode de la disposition à payer</t>
    </r>
    <r>
      <rPr>
        <sz val="12"/>
        <color theme="1"/>
        <rFont val="Calibri"/>
        <family val="2"/>
        <scheme val="minor"/>
      </rPr>
      <t xml:space="preserve"> (  Willingness to pay )</t>
    </r>
  </si>
  <si>
    <t>coût  de base   du Projet  annualisé</t>
  </si>
  <si>
    <t>coût   financier annualisé du Projet</t>
  </si>
  <si>
    <t xml:space="preserve"> 4- Coût  économique du Projet par composante</t>
  </si>
  <si>
    <t>Coût  économique</t>
  </si>
  <si>
    <t xml:space="preserve"> 5- Coût  économique des investissements de remplacement</t>
  </si>
  <si>
    <t>Coût  économique de base</t>
  </si>
  <si>
    <t>Annualisation du  coût  économique des investissements de base et de remplacement ( Cout actualisé)</t>
  </si>
  <si>
    <t>Etats de sortie de l'Outil</t>
  </si>
  <si>
    <t xml:space="preserve">Les bénéfices éventuels de la  réévaluation de ces  terrains permettent d’améliorer les conditions socio-économiques   </t>
  </si>
  <si>
    <t>Prix de vente  dans les Zone avoisinantes après la réalisation du Projet  en DT /m2</t>
  </si>
  <si>
    <t>Superfcie des terrains commercialisables  m2</t>
  </si>
  <si>
    <t>Augmentation annuelle de la valeur foncière dans les zones avoisinante après Projet</t>
  </si>
  <si>
    <t>Augmentation annuelle de la valeur foncière dans les zones avoisinante avant  Projet</t>
  </si>
  <si>
    <t>Projection des  Bénéfices  Economiques du Projet</t>
  </si>
  <si>
    <t xml:space="preserve">Le Résultat selon l'hypothèse retenu  est obtenu en remplacant au niveau de la" feuille 3-Données de base" le prix de base de  vente (60DT) </t>
  </si>
  <si>
    <t xml:space="preserve">Superficie des espaces mises à la vente en m2 (i) </t>
  </si>
  <si>
    <t xml:space="preserve">Prix de Base unitaire sans Projet en DT/m2  (ii) </t>
  </si>
  <si>
    <t>Prix de vente unitaire   avec Projet  en DT/m2 (iii)</t>
  </si>
  <si>
    <t xml:space="preserve">Valeur foncière  totale sans Projet        (iv)= (i)*(ii)        </t>
  </si>
  <si>
    <t>Valeur  foncière totale avec Projet   (v)=(i)*(iii)</t>
  </si>
  <si>
    <t>Bénéfices Economiques en DT   (v)-(iv)</t>
  </si>
  <si>
    <t xml:space="preserve">Coût  du projet  en coût économique   </t>
  </si>
  <si>
    <t xml:space="preserve">Charges  d'exploitations en coûts économiques </t>
  </si>
  <si>
    <t xml:space="preserve">Coûts économiques  totaux             </t>
  </si>
  <si>
    <t xml:space="preserve">Bénéfices économiques  du Projet                           </t>
  </si>
  <si>
    <t xml:space="preserve">(iii)  (iii)  la superficie de l’espace commercialisable aux alentours du Projet couvre environ   145 000 m2. </t>
  </si>
  <si>
    <t xml:space="preserve">Pour la projection des Bénéfices Economiques du Projet , on a considéré  que durant   la période d'exploitation du Projet (2023-2042) le </t>
  </si>
  <si>
    <t>programme de vente des espaces concernées sera comme suit :</t>
  </si>
  <si>
    <t>* En 2013, l'année de démarrage du Projet,  l'espace à vendre  représente 50% de la superficie du Projet</t>
  </si>
  <si>
    <t xml:space="preserve">* Pour le reste des années,   la superficie de l'espace à vendre durant l'année en cours sera augmentée de 2% par rapport à celle vendue </t>
  </si>
  <si>
    <t xml:space="preserve">durant l’année précédente (c'est -à dire que la superficie de l'espace à vendre en 2024 est égal à la superficie de 2023*(1+2%), celle de   </t>
  </si>
  <si>
    <t>2025= à la superficie de 2024*(1+2%) et ce idem pour le reste des autres années.</t>
  </si>
  <si>
    <t>Avec ces hypothèses la projection des Bénéfices Economiques du Projet sont présentées dans le tableau suivant.</t>
  </si>
  <si>
    <t xml:space="preserve">L'analyse de sensibilité du TRE est faite en réduisant   les paramètres clés qui influent sur les bénéfices économiques du Projet </t>
  </si>
  <si>
    <t xml:space="preserve">notamment le niveau du prix unitaire des terrains destinés à la vente après la réalisation du Projet. </t>
  </si>
  <si>
    <t>Selon cette hypothèse , la réduction de 20% du prix de vente   fait baisser le TRE de 16% à 11% soit une diminution de 45%</t>
  </si>
  <si>
    <t xml:space="preserve"> par le prix réduit ( 48 DT), le nouveau TRE apparait au niveau de "la feuille  4-Résultat Disposition à payer" </t>
  </si>
  <si>
    <t>Commune A</t>
  </si>
  <si>
    <t>Commune Bet C</t>
  </si>
  <si>
    <t>Année de base</t>
  </si>
  <si>
    <t xml:space="preserve"> (ii) Nombre de déplacement au marché/an par an pour les Commune B et C</t>
  </si>
  <si>
    <t>Avant Projet</t>
  </si>
  <si>
    <t>Les 3 communes</t>
  </si>
  <si>
    <t>Après Projet</t>
  </si>
  <si>
    <t>Bénéficses Economique</t>
  </si>
  <si>
    <t>Frais de déplacement</t>
  </si>
  <si>
    <t>Bénéfices économiques  provenants des frais de transport évités  calculés selon l'approche Cout d'évitement en 2023</t>
  </si>
  <si>
    <t>Coût de base total du Projet</t>
  </si>
  <si>
    <t xml:space="preserve">matériaux , donc le coût économique d'une unité de bien local est égal à ((40%*0,8))+(60%/(1+19%))= 0,32+0,50,4 =0, 824 </t>
  </si>
  <si>
    <t xml:space="preserve">(iii) la création des emplois directs et indirects  génèrent  l'élévation  du niveau des revenus des ménages  et l'amélioration des  conditions socio-économiques de la population des 3 communes  (iv) des économies  des frais de </t>
  </si>
  <si>
    <r>
      <t xml:space="preserve">évalués en termes monétaires. Pour la présente  évaluation  </t>
    </r>
    <r>
      <rPr>
        <b/>
        <sz val="12"/>
        <color theme="1"/>
        <rFont val="Calibri"/>
        <family val="2"/>
        <scheme val="minor"/>
      </rPr>
      <t xml:space="preserve">deux impacts quantifiables ont été   retenus à savoir : </t>
    </r>
  </si>
  <si>
    <r>
      <rPr>
        <b/>
        <sz val="14"/>
        <color theme="1"/>
        <rFont val="Calibri"/>
        <family val="2"/>
        <scheme val="minor"/>
      </rPr>
      <t>(ii)</t>
    </r>
    <r>
      <rPr>
        <sz val="12"/>
        <color theme="1"/>
        <rFont val="Calibri"/>
        <family val="2"/>
        <scheme val="minor"/>
      </rPr>
      <t xml:space="preserve"> Des  bénéfices pour la collectivité suite à  la valorisation foncière des terrains limitrophe du  Projet.  </t>
    </r>
  </si>
  <si>
    <r>
      <rPr>
        <b/>
        <sz val="14"/>
        <color theme="1"/>
        <rFont val="Calibri"/>
        <family val="2"/>
        <scheme val="minor"/>
      </rPr>
      <t>(i)</t>
    </r>
    <r>
      <rPr>
        <sz val="12"/>
        <color theme="1"/>
        <rFont val="Calibri"/>
        <family val="2"/>
        <scheme val="minor"/>
      </rPr>
      <t xml:space="preserve"> des  frais de transport seront évités puisque le trajet qui mène vers le nouveau marché devient plus court pour les </t>
    </r>
  </si>
  <si>
    <t>construction , (iii)  l'échéancier de  réalisation des différentes composantes du Projet, et d'autres part elles seont relatives  aux méthodes de calculs</t>
  </si>
  <si>
    <t xml:space="preserve">  des  Avantages économique du Projet selon  la méthode  du cout d'évitement ou la méthode de disposition à  payer. </t>
  </si>
  <si>
    <r>
      <t xml:space="preserve"> </t>
    </r>
    <r>
      <rPr>
        <sz val="12"/>
        <rFont val="Calibri"/>
        <family val="2"/>
      </rPr>
      <t xml:space="preserve">   *  Acquisition fonciére et travaux d'aménagement y afférents             ,</t>
    </r>
  </si>
  <si>
    <r>
      <t xml:space="preserve"> </t>
    </r>
    <r>
      <rPr>
        <sz val="12"/>
        <rFont val="Calibri"/>
        <family val="2"/>
      </rPr>
      <t xml:space="preserve"> * Travaux de construction,                                                      </t>
    </r>
  </si>
  <si>
    <r>
      <t xml:space="preserve">   * </t>
    </r>
    <r>
      <rPr>
        <sz val="12"/>
        <rFont val="Calibri"/>
        <family val="2"/>
      </rPr>
      <t xml:space="preserve"> Installations  complémentaires particulières</t>
    </r>
  </si>
  <si>
    <r>
      <t xml:space="preserve">    *</t>
    </r>
    <r>
      <rPr>
        <sz val="12"/>
        <rFont val="Calibri"/>
        <family val="2"/>
      </rPr>
      <t>Equipements et meubles y compris materiels d'entretiens et de maintenances</t>
    </r>
  </si>
  <si>
    <r>
      <t xml:space="preserve">     * </t>
    </r>
    <r>
      <rPr>
        <sz val="12"/>
        <rFont val="Calibri"/>
        <family val="2"/>
      </rPr>
      <t>Contrôle et pilotage</t>
    </r>
  </si>
  <si>
    <r>
      <rPr>
        <b/>
        <sz val="12"/>
        <rFont val="Calibri"/>
        <family val="2"/>
      </rPr>
      <t>Provisions pour  hausse des prix</t>
    </r>
    <r>
      <rPr>
        <sz val="12"/>
        <rFont val="Calibri"/>
        <family val="2"/>
      </rPr>
      <t xml:space="preserve"> calculées sur la base des taux  d'inflations . Pour 2019 , le taux réel est de                                                                                                          </t>
    </r>
  </si>
  <si>
    <r>
      <t xml:space="preserve">      </t>
    </r>
    <r>
      <rPr>
        <b/>
        <sz val="12"/>
        <rFont val="Calibri"/>
        <family val="2"/>
      </rPr>
      <t>9%</t>
    </r>
    <r>
      <rPr>
        <sz val="12"/>
        <rFont val="Calibri"/>
        <family val="2"/>
      </rPr>
      <t xml:space="preserve">بالنسبة للاشغال المدنية     </t>
    </r>
  </si>
  <si>
    <r>
      <t xml:space="preserve">      </t>
    </r>
    <r>
      <rPr>
        <b/>
        <sz val="12"/>
        <rFont val="Calibri"/>
        <family val="2"/>
      </rPr>
      <t>5%</t>
    </r>
    <r>
      <rPr>
        <sz val="12"/>
        <rFont val="Calibri"/>
        <family val="2"/>
      </rPr>
      <t xml:space="preserve">بالنسبة للمعدات الفنية الخصوصية     </t>
    </r>
  </si>
  <si>
    <r>
      <t xml:space="preserve"> </t>
    </r>
    <r>
      <rPr>
        <b/>
        <sz val="12"/>
        <rFont val="Calibri"/>
        <family val="2"/>
      </rPr>
      <t>5%</t>
    </r>
    <r>
      <rPr>
        <sz val="12"/>
        <rFont val="Calibri"/>
        <family val="2"/>
      </rPr>
      <t xml:space="preserve">بالنسبة  للتجهيزات  الأخرى والاثاث بما  في ذلك معدات  الاستغلال والصيانة       </t>
    </r>
  </si>
  <si>
    <t>Avantages économiques du projet selon l'approche Disposition à payer</t>
  </si>
  <si>
    <t xml:space="preserve">Bénéfices économiques  provenants de la vente des terrains  calculés selon l'approche Disposition à payer </t>
  </si>
  <si>
    <t>Rentabilité  économiques  selon la méthode "Disposition à payer" du Projet de construction d'un marché pour les produits locaux</t>
  </si>
  <si>
    <t>Rentabilité  économiques  selon la méthode "Coût d'évitement" du Projet de construction d'un marché pour les produits locaux</t>
  </si>
  <si>
    <t xml:space="preserve">Cout économique des charges d'exploitation en 2023 </t>
  </si>
  <si>
    <t>Avantages économiques du projet selon l'approche Cout d'évitement en 2023</t>
  </si>
  <si>
    <r>
      <t xml:space="preserve">Les charges d'exploitation sont évaluées à partir du montant  des investissements du Projet comme suit:                                                                                                                                         </t>
    </r>
    <r>
      <rPr>
        <b/>
        <sz val="12"/>
        <color theme="1"/>
        <rFont val="Calibri"/>
        <family val="2"/>
        <scheme val="minor"/>
      </rPr>
      <t>(i) Pour les frais du siéges</t>
    </r>
    <r>
      <rPr>
        <sz val="12"/>
        <color theme="1"/>
        <rFont val="Calibri"/>
        <family val="2"/>
        <scheme val="minor"/>
      </rPr>
      <t xml:space="preserve"> : 0,9%   du coût économique des  investissements,  avec une augmentation annuelle de 5%                                                                                                             </t>
    </r>
    <r>
      <rPr>
        <b/>
        <sz val="12"/>
        <color theme="1"/>
        <rFont val="Calibri"/>
        <family val="2"/>
        <scheme val="minor"/>
      </rPr>
      <t>(ii) Pour les frais d'entretien</t>
    </r>
    <r>
      <rPr>
        <sz val="12"/>
        <color theme="1"/>
        <rFont val="Calibri"/>
        <family val="2"/>
        <scheme val="minor"/>
      </rPr>
      <t xml:space="preserve"> : 3% du coût économique des  investissements,                                </t>
    </r>
    <r>
      <rPr>
        <b/>
        <sz val="12"/>
        <color theme="1"/>
        <rFont val="Calibri"/>
        <family val="2"/>
        <scheme val="minor"/>
      </rPr>
      <t>(iii) Pour les autres charges</t>
    </r>
    <r>
      <rPr>
        <sz val="12"/>
        <color theme="1"/>
        <rFont val="Calibri"/>
        <family val="2"/>
        <scheme val="minor"/>
      </rPr>
      <t xml:space="preserve"> : 3% du coût économique des  investissements.</t>
    </r>
  </si>
  <si>
    <t>Le prix économique est définit comme étant le prix de substitution d'un bien auquel un individu ou la société doit renoncer pour obtenir une unité supplémentaire de ce bien.</t>
  </si>
  <si>
    <r>
      <rPr>
        <b/>
        <sz val="12"/>
        <color theme="1"/>
        <rFont val="Calibri"/>
        <family val="2"/>
        <scheme val="minor"/>
      </rPr>
      <t>(iv)</t>
    </r>
    <r>
      <rPr>
        <sz val="12"/>
        <color theme="1"/>
        <rFont val="Calibri"/>
        <family val="2"/>
        <scheme val="minor"/>
      </rPr>
      <t xml:space="preserve"> Le nombre de déplacement au marché  par an pour les habitants de A est de 30 fois et les habitants de Bet C est de 20 fois</t>
    </r>
  </si>
  <si>
    <t xml:space="preserve">Avantages Economiques du Projet  </t>
  </si>
  <si>
    <t>L'analyse de sensibilité du TRE est faite  en réduisant   le paramétre clé qui influe sur les bénéfices économiques du  Projet dont notamment  le prix du transport des ménages qui se déplacent au marché pour s'approvisionner.</t>
  </si>
  <si>
    <t>Pour cela on va réduire  de 20% le coût du transport aller/retour de la population concernée</t>
  </si>
  <si>
    <t xml:space="preserve">Avec cette hypothèse, les tarifs  de transport aller/retour passent  avant Projet de  2,500 DT à 2,000 DT pour les 3  communes , après Projet ces tarifs pssent de 1,500 DT à 1,200 pour les communes Bet C et de 0,800 DT à 0,640 DT </t>
  </si>
  <si>
    <t>pour les habitants de la commune A qui habitent  loin du Projet. Le TRE ainsi calcué passe de16% à 11%, soit une dimunition de 31%</t>
  </si>
  <si>
    <t>Ce résultat est obtenu en modifiant au niveau de la feuille " 3-Données de base - "les tarifs de base par les tarifs réduits selon l'hypothése  retenu. Le nouveau TRE apparait au niveau de la feuille "5-Résultat -Cout d'évitement"</t>
  </si>
  <si>
    <t xml:space="preserve">Bénéfices  Economiques  du Projet selon  la méthode "Disposition à Payer"                      </t>
  </si>
  <si>
    <t>Taux de Rentabilité Eonomique  du Projet selon l'approche" Disposition à payer"</t>
  </si>
  <si>
    <t>3)  La conception d'une méthode de calcul des bénéfices économiques du Projet  résultants des dispositions à payer</t>
  </si>
  <si>
    <t>Données de bases de l'Outil</t>
  </si>
  <si>
    <t>Taux de Rentabilité Economique du projet selon l'approche Disposition à payer</t>
  </si>
</sst>
</file>

<file path=xl/styles.xml><?xml version="1.0" encoding="utf-8"?>
<styleSheet xmlns="http://schemas.openxmlformats.org/spreadsheetml/2006/main">
  <numFmts count="14">
    <numFmt numFmtId="164" formatCode="#,##0.00\ &quot;€&quot;;[Red]\-#,##0.00\ &quot;€&quot;"/>
    <numFmt numFmtId="165" formatCode="_-* #,##0.00\ _€_-;\-* #,##0.00\ _€_-;_-* &quot;-&quot;??\ _€_-;_-@_-"/>
    <numFmt numFmtId="166" formatCode="0.000"/>
    <numFmt numFmtId="167" formatCode="#,##0.00\ [$د.ت.‏-1C01]"/>
    <numFmt numFmtId="168" formatCode="0.0"/>
    <numFmt numFmtId="169" formatCode="_-* #,##0_€_-;\-* #,##0_€_-;_-* &quot;-&quot;??_€_-;_-@_-"/>
    <numFmt numFmtId="170" formatCode="0.0%"/>
    <numFmt numFmtId="171" formatCode="#,##0.0"/>
    <numFmt numFmtId="172" formatCode="#,##0_ ;\-#,##0\ "/>
    <numFmt numFmtId="173" formatCode="#,##0_ ;[Red]\-#,##0\ "/>
    <numFmt numFmtId="174" formatCode="#,##0.00_ ;\-#,##0.00\ "/>
    <numFmt numFmtId="175" formatCode="#,##0.000"/>
    <numFmt numFmtId="176" formatCode="#,##0\ [$TND]"/>
    <numFmt numFmtId="177" formatCode="#,##0\ [$TND];[Red]\-#,##0\ [$TND]"/>
  </numFmts>
  <fonts count="60">
    <font>
      <sz val="11"/>
      <color theme="1"/>
      <name val="Calibri"/>
      <family val="2"/>
      <scheme val="minor"/>
    </font>
    <font>
      <sz val="12"/>
      <color theme="1"/>
      <name val="Calibri"/>
      <family val="2"/>
      <scheme val="minor"/>
    </font>
    <font>
      <sz val="12"/>
      <color theme="1"/>
      <name val="Calibri"/>
      <family val="2"/>
      <scheme val="minor"/>
    </font>
    <font>
      <b/>
      <sz val="11"/>
      <color theme="1"/>
      <name val="Calibri"/>
      <family val="2"/>
      <scheme val="minor"/>
    </font>
    <font>
      <b/>
      <sz val="12"/>
      <color theme="1"/>
      <name val="Times New Roman"/>
      <family val="1"/>
    </font>
    <font>
      <b/>
      <sz val="11"/>
      <name val="Calibri"/>
      <family val="2"/>
    </font>
    <font>
      <b/>
      <sz val="11"/>
      <color rgb="FFFF0000"/>
      <name val="Calibri"/>
      <family val="2"/>
      <scheme val="minor"/>
    </font>
    <font>
      <b/>
      <sz val="12"/>
      <color theme="1"/>
      <name val="Calibri"/>
      <family val="2"/>
      <scheme val="minor"/>
    </font>
    <font>
      <sz val="12"/>
      <color theme="1"/>
      <name val="Calibri"/>
      <family val="2"/>
      <scheme val="minor"/>
    </font>
    <font>
      <sz val="12"/>
      <color rgb="FF000000"/>
      <name val="Calibri"/>
      <family val="2"/>
      <scheme val="minor"/>
    </font>
    <font>
      <sz val="11"/>
      <name val="Calibri"/>
      <family val="2"/>
    </font>
    <font>
      <sz val="11"/>
      <name val="Calibri"/>
      <family val="2"/>
      <scheme val="minor"/>
    </font>
    <font>
      <sz val="11"/>
      <color theme="1"/>
      <name val="Calibri"/>
      <family val="2"/>
      <scheme val="minor"/>
    </font>
    <font>
      <b/>
      <sz val="11"/>
      <color rgb="FF00B050"/>
      <name val="Calibri"/>
      <family val="2"/>
      <scheme val="minor"/>
    </font>
    <font>
      <b/>
      <sz val="11"/>
      <name val="Calibri"/>
      <family val="2"/>
      <scheme val="minor"/>
    </font>
    <font>
      <b/>
      <sz val="11"/>
      <color theme="4"/>
      <name val="Calibri"/>
      <family val="2"/>
      <scheme val="minor"/>
    </font>
    <font>
      <sz val="11"/>
      <color theme="4"/>
      <name val="Calibri"/>
      <family val="2"/>
      <scheme val="minor"/>
    </font>
    <font>
      <b/>
      <sz val="14"/>
      <color theme="1"/>
      <name val="Calibri"/>
      <family val="2"/>
      <scheme val="minor"/>
    </font>
    <font>
      <sz val="14"/>
      <color theme="1"/>
      <name val="Calibri"/>
      <family val="2"/>
      <scheme val="minor"/>
    </font>
    <font>
      <sz val="16"/>
      <color theme="1"/>
      <name val="Calibri"/>
      <family val="2"/>
      <scheme val="minor"/>
    </font>
    <font>
      <b/>
      <sz val="20"/>
      <color rgb="FF000000"/>
      <name val="Calibri"/>
      <family val="2"/>
    </font>
    <font>
      <b/>
      <sz val="16"/>
      <color theme="1"/>
      <name val="Calibri"/>
      <family val="2"/>
      <scheme val="minor"/>
    </font>
    <font>
      <b/>
      <sz val="20"/>
      <color theme="1"/>
      <name val="Calibri"/>
      <family val="2"/>
      <scheme val="minor"/>
    </font>
    <font>
      <b/>
      <sz val="20"/>
      <name val="Calibri"/>
      <family val="2"/>
    </font>
    <font>
      <sz val="16"/>
      <name val="Calibri"/>
      <family val="2"/>
      <scheme val="minor"/>
    </font>
    <font>
      <b/>
      <sz val="12"/>
      <name val="Calibri"/>
      <family val="2"/>
      <scheme val="minor"/>
    </font>
    <font>
      <b/>
      <sz val="12"/>
      <color rgb="FF000000"/>
      <name val="Calibri"/>
      <family val="2"/>
      <scheme val="minor"/>
    </font>
    <font>
      <b/>
      <sz val="10"/>
      <color theme="1"/>
      <name val="Calibri"/>
      <family val="2"/>
      <scheme val="minor"/>
    </font>
    <font>
      <sz val="12"/>
      <color rgb="FF000000"/>
      <name val="Wingdings"/>
      <charset val="2"/>
    </font>
    <font>
      <sz val="7"/>
      <color rgb="FF000000"/>
      <name val="Times New Roman"/>
      <family val="1"/>
    </font>
    <font>
      <sz val="10"/>
      <name val="Verdana"/>
      <family val="2"/>
    </font>
    <font>
      <b/>
      <sz val="10"/>
      <color rgb="FFFF0000"/>
      <name val="Verdana"/>
      <family val="2"/>
    </font>
    <font>
      <b/>
      <sz val="14"/>
      <name val="Verdana"/>
      <family val="2"/>
    </font>
    <font>
      <b/>
      <sz val="14"/>
      <name val="Calibri"/>
      <family val="2"/>
    </font>
    <font>
      <sz val="14"/>
      <name val="Calibri"/>
      <family val="2"/>
    </font>
    <font>
      <sz val="12"/>
      <name val="Calibri"/>
      <family val="2"/>
    </font>
    <font>
      <sz val="13"/>
      <color rgb="FF2F5496"/>
      <name val="Calibri Light"/>
      <family val="2"/>
    </font>
    <font>
      <sz val="11"/>
      <color theme="1"/>
      <name val="Times New Roman"/>
      <family val="1"/>
    </font>
    <font>
      <b/>
      <sz val="20"/>
      <name val="Calibri"/>
      <family val="2"/>
      <scheme val="minor"/>
    </font>
    <font>
      <b/>
      <sz val="10"/>
      <name val="Verdana"/>
      <family val="2"/>
    </font>
    <font>
      <b/>
      <sz val="18"/>
      <color theme="1"/>
      <name val="Calibri"/>
      <family val="2"/>
      <scheme val="minor"/>
    </font>
    <font>
      <b/>
      <sz val="14"/>
      <color rgb="FF000000"/>
      <name val="Calibri"/>
      <family val="2"/>
      <scheme val="minor"/>
    </font>
    <font>
      <sz val="12"/>
      <name val="Calibri"/>
      <family val="2"/>
      <scheme val="minor"/>
    </font>
    <font>
      <sz val="12"/>
      <color rgb="FF000000"/>
      <name val="Calibri"/>
      <family val="2"/>
    </font>
    <font>
      <b/>
      <sz val="12"/>
      <color rgb="FF000000"/>
      <name val="Calibri"/>
      <family val="2"/>
    </font>
    <font>
      <sz val="12"/>
      <color theme="1"/>
      <name val="Calibri"/>
      <family val="2"/>
    </font>
    <font>
      <sz val="7"/>
      <color theme="1"/>
      <name val="Calibri"/>
      <family val="2"/>
    </font>
    <font>
      <sz val="11"/>
      <color theme="1"/>
      <name val="Calibri"/>
      <family val="2"/>
    </font>
    <font>
      <b/>
      <sz val="12"/>
      <color theme="1"/>
      <name val="Calibri"/>
      <family val="2"/>
    </font>
    <font>
      <b/>
      <sz val="12"/>
      <name val="Calibri"/>
      <family val="2"/>
    </font>
    <font>
      <i/>
      <u/>
      <sz val="12"/>
      <name val="Calibri"/>
      <family val="2"/>
    </font>
    <font>
      <i/>
      <sz val="12"/>
      <name val="Calibri"/>
      <family val="2"/>
    </font>
    <font>
      <b/>
      <sz val="16"/>
      <name val="Calibri"/>
      <family val="2"/>
    </font>
    <font>
      <b/>
      <sz val="11"/>
      <color theme="1"/>
      <name val="Times New Roman"/>
      <family val="1"/>
    </font>
    <font>
      <b/>
      <sz val="14"/>
      <name val="Calibri"/>
      <family val="2"/>
      <scheme val="minor"/>
    </font>
    <font>
      <b/>
      <sz val="12"/>
      <color indexed="8"/>
      <name val="Calibri"/>
      <family val="2"/>
    </font>
    <font>
      <b/>
      <sz val="12"/>
      <color rgb="FFFF0000"/>
      <name val="Calibri"/>
      <family val="2"/>
    </font>
    <font>
      <sz val="12"/>
      <color indexed="8"/>
      <name val="Calibri"/>
      <family val="2"/>
    </font>
    <font>
      <sz val="12"/>
      <name val="Arial"/>
      <family val="2"/>
    </font>
    <font>
      <b/>
      <sz val="12"/>
      <color rgb="FFFF0000"/>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39997558519241921"/>
        <bgColor indexed="64"/>
      </patternFill>
    </fill>
    <fill>
      <patternFill patternType="solid">
        <fgColor rgb="FFFFC000"/>
        <bgColor indexed="64"/>
      </patternFill>
    </fill>
    <fill>
      <patternFill patternType="solid">
        <fgColor theme="6" tint="0.59999389629810485"/>
        <bgColor indexed="64"/>
      </patternFill>
    </fill>
    <fill>
      <patternFill patternType="solid">
        <fgColor theme="8" tint="0.39997558519241921"/>
        <bgColor indexed="64"/>
      </patternFill>
    </fill>
    <fill>
      <patternFill patternType="solid">
        <fgColor theme="5" tint="0.79998168889431442"/>
        <bgColor indexed="64"/>
      </patternFill>
    </fill>
    <fill>
      <patternFill patternType="solid">
        <fgColor rgb="FFFF0000"/>
        <bgColor indexed="64"/>
      </patternFill>
    </fill>
    <fill>
      <patternFill patternType="solid">
        <fgColor theme="8" tint="0.59999389629810485"/>
        <bgColor indexed="64"/>
      </patternFill>
    </fill>
    <fill>
      <patternFill patternType="solid">
        <fgColor theme="4" tint="0.79998168889431442"/>
        <bgColor indexed="64"/>
      </patternFill>
    </fill>
  </fills>
  <borders count="76">
    <border>
      <left/>
      <right/>
      <top/>
      <bottom/>
      <diagonal/>
    </border>
    <border>
      <left style="medium">
        <color indexed="64"/>
      </left>
      <right/>
      <top style="medium">
        <color indexed="64"/>
      </top>
      <bottom/>
      <diagonal/>
    </border>
    <border>
      <left/>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diagonal/>
    </border>
    <border>
      <left style="thin">
        <color indexed="64"/>
      </left>
      <right/>
      <top/>
      <bottom style="medium">
        <color indexed="64"/>
      </bottom>
      <diagonal/>
    </border>
    <border>
      <left style="thin">
        <color indexed="64"/>
      </left>
      <right style="medium">
        <color indexed="64"/>
      </right>
      <top/>
      <bottom/>
      <diagonal/>
    </border>
  </borders>
  <cellStyleXfs count="3">
    <xf numFmtId="0" fontId="0" fillId="0" borderId="0"/>
    <xf numFmtId="165" fontId="12" fillId="0" borderId="0" applyFont="0" applyFill="0" applyBorder="0" applyAlignment="0" applyProtection="0"/>
    <xf numFmtId="9" fontId="12" fillId="0" borderId="0" applyFont="0" applyFill="0" applyBorder="0" applyAlignment="0" applyProtection="0"/>
  </cellStyleXfs>
  <cellXfs count="1249">
    <xf numFmtId="0" fontId="0" fillId="0" borderId="0" xfId="0"/>
    <xf numFmtId="0" fontId="0" fillId="0" borderId="0" xfId="0" applyAlignment="1">
      <alignment horizontal="center"/>
    </xf>
    <xf numFmtId="0" fontId="0" fillId="0" borderId="0" xfId="0" applyBorder="1"/>
    <xf numFmtId="0" fontId="0" fillId="0" borderId="4" xfId="0" applyBorder="1"/>
    <xf numFmtId="0" fontId="0" fillId="0" borderId="0" xfId="0" applyAlignment="1">
      <alignment horizontal="left"/>
    </xf>
    <xf numFmtId="0" fontId="0" fillId="0" borderId="14" xfId="0" applyBorder="1"/>
    <xf numFmtId="0" fontId="0" fillId="0" borderId="11" xfId="0" applyBorder="1"/>
    <xf numFmtId="0" fontId="0" fillId="0" borderId="5" xfId="0" applyBorder="1"/>
    <xf numFmtId="0" fontId="8" fillId="0" borderId="7" xfId="0" applyFont="1" applyBorder="1" applyAlignment="1">
      <alignment horizontal="left"/>
    </xf>
    <xf numFmtId="3" fontId="0" fillId="0" borderId="0" xfId="0" applyNumberFormat="1"/>
    <xf numFmtId="3" fontId="11" fillId="0" borderId="4" xfId="0" applyNumberFormat="1" applyFont="1" applyBorder="1" applyAlignment="1">
      <alignment horizontal="center"/>
    </xf>
    <xf numFmtId="0" fontId="0" fillId="0" borderId="18" xfId="0" applyBorder="1" applyAlignment="1">
      <alignment horizontal="center"/>
    </xf>
    <xf numFmtId="0" fontId="13" fillId="0" borderId="0" xfId="0" applyFont="1"/>
    <xf numFmtId="0" fontId="16" fillId="0" borderId="0" xfId="0" applyFont="1"/>
    <xf numFmtId="3" fontId="11" fillId="2" borderId="4" xfId="0" applyNumberFormat="1" applyFont="1" applyFill="1" applyBorder="1" applyAlignment="1">
      <alignment horizontal="center"/>
    </xf>
    <xf numFmtId="0" fontId="11" fillId="2" borderId="0" xfId="0" applyFont="1" applyFill="1"/>
    <xf numFmtId="3" fontId="11" fillId="2" borderId="30" xfId="0" applyNumberFormat="1" applyFont="1" applyFill="1" applyBorder="1" applyAlignment="1">
      <alignment horizontal="center"/>
    </xf>
    <xf numFmtId="0" fontId="0" fillId="0" borderId="21" xfId="0" applyBorder="1" applyAlignment="1">
      <alignment horizontal="center" wrapText="1"/>
    </xf>
    <xf numFmtId="3" fontId="11" fillId="0" borderId="22" xfId="0" applyNumberFormat="1" applyFont="1" applyBorder="1" applyAlignment="1">
      <alignment horizontal="center"/>
    </xf>
    <xf numFmtId="3" fontId="11" fillId="0" borderId="24" xfId="0" applyNumberFormat="1" applyFont="1" applyBorder="1" applyAlignment="1">
      <alignment horizontal="center"/>
    </xf>
    <xf numFmtId="0" fontId="3" fillId="0" borderId="26" xfId="0" applyFont="1" applyBorder="1" applyAlignment="1">
      <alignment horizontal="center"/>
    </xf>
    <xf numFmtId="3" fontId="11" fillId="0" borderId="22" xfId="0" applyNumberFormat="1" applyFont="1" applyBorder="1" applyAlignment="1">
      <alignment horizontal="center" vertical="center"/>
    </xf>
    <xf numFmtId="3" fontId="11" fillId="0" borderId="27" xfId="0" applyNumberFormat="1" applyFont="1" applyBorder="1" applyAlignment="1">
      <alignment horizontal="center"/>
    </xf>
    <xf numFmtId="0" fontId="13" fillId="2" borderId="0" xfId="0" applyFont="1" applyFill="1"/>
    <xf numFmtId="0" fontId="0" fillId="0" borderId="0" xfId="0" applyAlignment="1"/>
    <xf numFmtId="3" fontId="0" fillId="0" borderId="0" xfId="0" applyNumberFormat="1" applyBorder="1"/>
    <xf numFmtId="0" fontId="17" fillId="0" borderId="0" xfId="0" applyFont="1" applyBorder="1" applyAlignment="1">
      <alignment horizontal="center"/>
    </xf>
    <xf numFmtId="0" fontId="0" fillId="0" borderId="2" xfId="0" applyBorder="1"/>
    <xf numFmtId="0" fontId="0" fillId="0" borderId="16" xfId="0" applyBorder="1"/>
    <xf numFmtId="3" fontId="0" fillId="0" borderId="0" xfId="0" applyNumberFormat="1" applyAlignment="1">
      <alignment horizontal="center"/>
    </xf>
    <xf numFmtId="3" fontId="13" fillId="2" borderId="0" xfId="0" applyNumberFormat="1" applyFont="1" applyFill="1" applyBorder="1" applyAlignment="1">
      <alignment horizontal="center" vertical="center"/>
    </xf>
    <xf numFmtId="3" fontId="0" fillId="0" borderId="0" xfId="0" applyNumberFormat="1" applyBorder="1" applyAlignment="1"/>
    <xf numFmtId="3" fontId="0" fillId="0" borderId="0" xfId="0" applyNumberFormat="1" applyBorder="1" applyAlignment="1">
      <alignment horizontal="left"/>
    </xf>
    <xf numFmtId="3" fontId="11" fillId="0" borderId="0" xfId="0" applyNumberFormat="1" applyFont="1" applyAlignment="1">
      <alignment horizontal="center"/>
    </xf>
    <xf numFmtId="3" fontId="11" fillId="0" borderId="0" xfId="0" applyNumberFormat="1" applyFont="1" applyBorder="1" applyAlignment="1"/>
    <xf numFmtId="9" fontId="11" fillId="0" borderId="0" xfId="0" applyNumberFormat="1" applyFont="1" applyAlignment="1">
      <alignment horizontal="center"/>
    </xf>
    <xf numFmtId="0" fontId="11" fillId="0" borderId="0" xfId="0" applyFont="1" applyAlignment="1">
      <alignment horizontal="center"/>
    </xf>
    <xf numFmtId="0" fontId="0" fillId="0" borderId="0" xfId="0" applyBorder="1" applyAlignment="1"/>
    <xf numFmtId="0" fontId="0" fillId="0" borderId="0" xfId="0" applyBorder="1" applyAlignment="1">
      <alignment horizontal="center"/>
    </xf>
    <xf numFmtId="0" fontId="0" fillId="0" borderId="0" xfId="0" applyAlignment="1">
      <alignment horizontal="center"/>
    </xf>
    <xf numFmtId="166" fontId="20" fillId="0" borderId="0" xfId="0" applyNumberFormat="1" applyFont="1" applyBorder="1" applyAlignment="1">
      <alignment horizontal="center" vertical="center" wrapText="1"/>
    </xf>
    <xf numFmtId="0" fontId="17" fillId="0" borderId="0" xfId="0" applyFont="1" applyBorder="1" applyAlignment="1">
      <alignment horizontal="center" vertical="center" wrapText="1"/>
    </xf>
    <xf numFmtId="166" fontId="20" fillId="0" borderId="0" xfId="0" applyNumberFormat="1" applyFont="1" applyBorder="1" applyAlignment="1">
      <alignment vertical="center" wrapText="1"/>
    </xf>
    <xf numFmtId="0" fontId="0" fillId="0" borderId="0" xfId="0" applyAlignment="1">
      <alignment wrapText="1"/>
    </xf>
    <xf numFmtId="0" fontId="7" fillId="0" borderId="0" xfId="0" applyFont="1" applyBorder="1" applyAlignment="1">
      <alignment vertical="center" wrapText="1"/>
    </xf>
    <xf numFmtId="0" fontId="21" fillId="0" borderId="0" xfId="0" applyFont="1" applyAlignment="1">
      <alignment vertical="center"/>
    </xf>
    <xf numFmtId="0" fontId="3" fillId="0" borderId="0" xfId="0" applyFont="1"/>
    <xf numFmtId="0" fontId="0" fillId="0" borderId="0" xfId="0" applyBorder="1" applyAlignment="1">
      <alignment horizontal="center"/>
    </xf>
    <xf numFmtId="0" fontId="19" fillId="0" borderId="0" xfId="0" applyFont="1" applyBorder="1" applyAlignment="1">
      <alignment horizontal="center" vertical="center" wrapText="1"/>
    </xf>
    <xf numFmtId="0" fontId="0" fillId="0" borderId="0" xfId="0" applyBorder="1" applyAlignment="1">
      <alignment horizontal="center"/>
    </xf>
    <xf numFmtId="0" fontId="13" fillId="2" borderId="4" xfId="0" applyFont="1" applyFill="1" applyBorder="1" applyAlignment="1">
      <alignment horizontal="center" vertical="center" wrapText="1"/>
    </xf>
    <xf numFmtId="3" fontId="13" fillId="2" borderId="4" xfId="0" applyNumberFormat="1" applyFont="1" applyFill="1" applyBorder="1" applyAlignment="1">
      <alignment horizontal="center" vertical="center"/>
    </xf>
    <xf numFmtId="0" fontId="13" fillId="2" borderId="4" xfId="0" applyFont="1" applyFill="1" applyBorder="1"/>
    <xf numFmtId="0" fontId="13" fillId="0" borderId="4" xfId="0" applyFont="1" applyBorder="1"/>
    <xf numFmtId="0" fontId="13" fillId="2" borderId="30" xfId="0" applyFont="1" applyFill="1" applyBorder="1" applyAlignment="1">
      <alignment horizontal="center" vertical="center" wrapText="1"/>
    </xf>
    <xf numFmtId="3" fontId="13" fillId="2" borderId="30" xfId="0" applyNumberFormat="1" applyFont="1" applyFill="1" applyBorder="1" applyAlignment="1">
      <alignment horizontal="center" vertical="center"/>
    </xf>
    <xf numFmtId="9" fontId="11" fillId="0" borderId="38" xfId="0" applyNumberFormat="1" applyFont="1" applyBorder="1" applyAlignment="1">
      <alignment horizontal="center"/>
    </xf>
    <xf numFmtId="0" fontId="13" fillId="2" borderId="30" xfId="0" applyFont="1" applyFill="1" applyBorder="1"/>
    <xf numFmtId="0" fontId="13" fillId="0" borderId="30" xfId="0" applyFont="1" applyBorder="1"/>
    <xf numFmtId="0" fontId="13" fillId="2" borderId="0" xfId="0" applyFont="1" applyFill="1" applyBorder="1"/>
    <xf numFmtId="0" fontId="13" fillId="0" borderId="0" xfId="0" applyFont="1" applyBorder="1"/>
    <xf numFmtId="3" fontId="13" fillId="2" borderId="50" xfId="0" applyNumberFormat="1" applyFont="1" applyFill="1" applyBorder="1" applyAlignment="1">
      <alignment horizontal="center" vertical="center"/>
    </xf>
    <xf numFmtId="3" fontId="13" fillId="2" borderId="8" xfId="0" applyNumberFormat="1" applyFont="1" applyFill="1" applyBorder="1" applyAlignment="1">
      <alignment horizontal="center" vertical="center"/>
    </xf>
    <xf numFmtId="0" fontId="7" fillId="0" borderId="4" xfId="0" applyFont="1" applyBorder="1" applyAlignment="1">
      <alignment vertical="center" wrapText="1"/>
    </xf>
    <xf numFmtId="0" fontId="7" fillId="0" borderId="30" xfId="0" applyFont="1" applyBorder="1" applyAlignment="1">
      <alignment vertical="center" wrapText="1"/>
    </xf>
    <xf numFmtId="0" fontId="11" fillId="2" borderId="24" xfId="0" applyFont="1" applyFill="1" applyBorder="1" applyAlignment="1">
      <alignment horizontal="center" vertical="center" wrapText="1"/>
    </xf>
    <xf numFmtId="3" fontId="11" fillId="2" borderId="24" xfId="0" applyNumberFormat="1" applyFont="1" applyFill="1" applyBorder="1" applyAlignment="1">
      <alignment horizontal="center"/>
    </xf>
    <xf numFmtId="0" fontId="7" fillId="0" borderId="0" xfId="0" applyFont="1" applyBorder="1" applyAlignment="1">
      <alignment horizontal="center" vertical="center" wrapText="1"/>
    </xf>
    <xf numFmtId="0" fontId="7" fillId="0" borderId="37" xfId="0" applyFont="1" applyBorder="1" applyAlignment="1">
      <alignment vertical="center" wrapText="1"/>
    </xf>
    <xf numFmtId="0" fontId="11" fillId="2" borderId="24" xfId="0" applyFont="1" applyFill="1" applyBorder="1" applyAlignment="1">
      <alignment horizontal="center"/>
    </xf>
    <xf numFmtId="3" fontId="11" fillId="2" borderId="27" xfId="0" applyNumberFormat="1" applyFont="1" applyFill="1" applyBorder="1" applyAlignment="1">
      <alignment horizontal="center"/>
    </xf>
    <xf numFmtId="3" fontId="11" fillId="2" borderId="28" xfId="0" applyNumberFormat="1" applyFont="1" applyFill="1" applyBorder="1" applyAlignment="1">
      <alignment horizontal="center"/>
    </xf>
    <xf numFmtId="3" fontId="11" fillId="2" borderId="22" xfId="0" applyNumberFormat="1" applyFont="1" applyFill="1" applyBorder="1" applyAlignment="1">
      <alignment horizontal="center"/>
    </xf>
    <xf numFmtId="3" fontId="11" fillId="2" borderId="23" xfId="0" applyNumberFormat="1" applyFont="1" applyFill="1" applyBorder="1" applyAlignment="1">
      <alignment horizontal="center"/>
    </xf>
    <xf numFmtId="3" fontId="11" fillId="2" borderId="40" xfId="0" applyNumberFormat="1" applyFont="1" applyFill="1" applyBorder="1" applyAlignment="1">
      <alignment horizontal="center"/>
    </xf>
    <xf numFmtId="3" fontId="11" fillId="2" borderId="51" xfId="0" applyNumberFormat="1" applyFont="1" applyFill="1" applyBorder="1" applyAlignment="1">
      <alignment horizontal="center"/>
    </xf>
    <xf numFmtId="0" fontId="11" fillId="2" borderId="60" xfId="0" applyFont="1" applyFill="1" applyBorder="1" applyAlignment="1">
      <alignment horizontal="center"/>
    </xf>
    <xf numFmtId="3" fontId="11" fillId="2" borderId="38" xfId="0" applyNumberFormat="1" applyFont="1" applyFill="1" applyBorder="1" applyAlignment="1">
      <alignment horizontal="center"/>
    </xf>
    <xf numFmtId="0" fontId="11" fillId="2" borderId="61" xfId="0" applyFont="1" applyFill="1" applyBorder="1" applyAlignment="1">
      <alignment horizontal="center" vertical="center" wrapText="1"/>
    </xf>
    <xf numFmtId="3" fontId="11" fillId="2" borderId="42" xfId="0" applyNumberFormat="1" applyFont="1" applyFill="1" applyBorder="1" applyAlignment="1">
      <alignment horizontal="center"/>
    </xf>
    <xf numFmtId="3" fontId="11" fillId="2" borderId="44" xfId="0" applyNumberFormat="1" applyFont="1" applyFill="1" applyBorder="1" applyAlignment="1">
      <alignment horizontal="center"/>
    </xf>
    <xf numFmtId="3" fontId="11" fillId="2" borderId="35" xfId="0" applyNumberFormat="1" applyFont="1" applyFill="1" applyBorder="1" applyAlignment="1">
      <alignment horizontal="center"/>
    </xf>
    <xf numFmtId="3" fontId="11" fillId="2" borderId="31" xfId="0" applyNumberFormat="1" applyFont="1" applyFill="1" applyBorder="1" applyAlignment="1">
      <alignment horizontal="center"/>
    </xf>
    <xf numFmtId="3" fontId="11" fillId="2" borderId="25" xfId="0" applyNumberFormat="1" applyFont="1" applyFill="1" applyBorder="1" applyAlignment="1">
      <alignment horizontal="center"/>
    </xf>
    <xf numFmtId="0" fontId="0" fillId="2" borderId="0" xfId="0" applyFont="1" applyFill="1"/>
    <xf numFmtId="3" fontId="11" fillId="2" borderId="19" xfId="0" applyNumberFormat="1" applyFont="1" applyFill="1" applyBorder="1" applyAlignment="1">
      <alignment horizontal="center"/>
    </xf>
    <xf numFmtId="166" fontId="23" fillId="0" borderId="0" xfId="0" applyNumberFormat="1" applyFont="1" applyBorder="1" applyAlignment="1">
      <alignment horizontal="center" vertical="center" wrapText="1"/>
    </xf>
    <xf numFmtId="0" fontId="24" fillId="0" borderId="0" xfId="0" applyFont="1" applyBorder="1" applyAlignment="1">
      <alignment horizontal="center" vertical="center" wrapText="1"/>
    </xf>
    <xf numFmtId="0" fontId="25" fillId="0" borderId="0" xfId="0" applyFont="1" applyBorder="1" applyAlignment="1">
      <alignment horizontal="center" vertical="center" wrapText="1"/>
    </xf>
    <xf numFmtId="3" fontId="11" fillId="0" borderId="24" xfId="0" applyNumberFormat="1" applyFont="1" applyBorder="1" applyAlignment="1">
      <alignment horizontal="center" vertical="center"/>
    </xf>
    <xf numFmtId="3" fontId="14" fillId="2" borderId="30" xfId="0" applyNumberFormat="1" applyFont="1" applyFill="1" applyBorder="1" applyAlignment="1">
      <alignment horizontal="center" vertical="center"/>
    </xf>
    <xf numFmtId="3" fontId="14" fillId="3" borderId="30" xfId="0" applyNumberFormat="1" applyFont="1" applyFill="1" applyBorder="1" applyAlignment="1">
      <alignment horizontal="center" vertical="center"/>
    </xf>
    <xf numFmtId="3" fontId="14" fillId="2" borderId="4" xfId="0" applyNumberFormat="1" applyFont="1" applyFill="1" applyBorder="1" applyAlignment="1">
      <alignment horizontal="center" vertical="center"/>
    </xf>
    <xf numFmtId="3" fontId="14" fillId="2" borderId="10" xfId="0" applyNumberFormat="1" applyFont="1" applyFill="1" applyBorder="1" applyAlignment="1">
      <alignment horizontal="center" vertical="center"/>
    </xf>
    <xf numFmtId="3" fontId="14" fillId="2" borderId="0" xfId="0" applyNumberFormat="1" applyFont="1" applyFill="1" applyBorder="1" applyAlignment="1">
      <alignment horizontal="center" vertical="center"/>
    </xf>
    <xf numFmtId="171" fontId="11" fillId="2" borderId="4" xfId="0" applyNumberFormat="1" applyFont="1" applyFill="1" applyBorder="1" applyAlignment="1">
      <alignment horizontal="center"/>
    </xf>
    <xf numFmtId="3" fontId="11" fillId="2" borderId="30" xfId="0" applyNumberFormat="1" applyFont="1" applyFill="1" applyBorder="1" applyAlignment="1">
      <alignment horizontal="center" vertical="center"/>
    </xf>
    <xf numFmtId="0" fontId="11" fillId="0" borderId="0" xfId="0" applyFont="1" applyBorder="1" applyAlignment="1">
      <alignment horizontal="center"/>
    </xf>
    <xf numFmtId="171" fontId="11" fillId="2" borderId="24" xfId="0" applyNumberFormat="1" applyFont="1" applyFill="1" applyBorder="1" applyAlignment="1">
      <alignment horizontal="center"/>
    </xf>
    <xf numFmtId="171" fontId="11" fillId="2" borderId="19" xfId="0" applyNumberFormat="1" applyFont="1" applyFill="1" applyBorder="1" applyAlignment="1">
      <alignment horizontal="center"/>
    </xf>
    <xf numFmtId="0" fontId="11" fillId="2" borderId="58" xfId="0" applyFont="1" applyFill="1" applyBorder="1" applyAlignment="1">
      <alignment horizontal="center"/>
    </xf>
    <xf numFmtId="171" fontId="11" fillId="2" borderId="10" xfId="0" applyNumberFormat="1" applyFont="1" applyFill="1" applyBorder="1" applyAlignment="1">
      <alignment horizontal="center"/>
    </xf>
    <xf numFmtId="0" fontId="11" fillId="2" borderId="24" xfId="0" applyFont="1" applyFill="1" applyBorder="1" applyAlignment="1">
      <alignment horizontal="center" vertical="center"/>
    </xf>
    <xf numFmtId="3" fontId="11" fillId="2" borderId="31" xfId="0" applyNumberFormat="1" applyFont="1" applyFill="1" applyBorder="1" applyAlignment="1">
      <alignment horizontal="center" vertical="center"/>
    </xf>
    <xf numFmtId="0" fontId="13" fillId="2" borderId="10" xfId="0" applyFont="1" applyFill="1" applyBorder="1" applyAlignment="1">
      <alignment horizontal="center" vertical="center" wrapText="1"/>
    </xf>
    <xf numFmtId="3" fontId="11" fillId="0" borderId="27" xfId="0" applyNumberFormat="1" applyFont="1" applyBorder="1" applyAlignment="1">
      <alignment horizontal="center" vertical="center"/>
    </xf>
    <xf numFmtId="3" fontId="11" fillId="0" borderId="28" xfId="0" applyNumberFormat="1" applyFont="1" applyBorder="1" applyAlignment="1">
      <alignment horizontal="center" vertical="center"/>
    </xf>
    <xf numFmtId="9" fontId="14" fillId="0" borderId="4" xfId="0" applyNumberFormat="1" applyFont="1" applyBorder="1" applyAlignment="1">
      <alignment horizontal="center"/>
    </xf>
    <xf numFmtId="3" fontId="11" fillId="0" borderId="19" xfId="0" applyNumberFormat="1" applyFont="1" applyBorder="1" applyAlignment="1">
      <alignment horizontal="center"/>
    </xf>
    <xf numFmtId="3" fontId="11" fillId="0" borderId="23" xfId="0" applyNumberFormat="1" applyFont="1" applyBorder="1" applyAlignment="1">
      <alignment horizontal="center"/>
    </xf>
    <xf numFmtId="0" fontId="11" fillId="0" borderId="27" xfId="0" applyFont="1" applyBorder="1" applyAlignment="1">
      <alignment horizontal="center"/>
    </xf>
    <xf numFmtId="3" fontId="11" fillId="0" borderId="28" xfId="0" applyNumberFormat="1" applyFont="1" applyBorder="1" applyAlignment="1">
      <alignment horizontal="center"/>
    </xf>
    <xf numFmtId="9" fontId="11" fillId="0" borderId="22" xfId="0" applyNumberFormat="1" applyFont="1" applyBorder="1" applyAlignment="1">
      <alignment horizontal="center" vertical="center"/>
    </xf>
    <xf numFmtId="3" fontId="11" fillId="0" borderId="23" xfId="0" applyNumberFormat="1" applyFont="1" applyBorder="1" applyAlignment="1">
      <alignment horizontal="center" vertical="center"/>
    </xf>
    <xf numFmtId="3" fontId="11" fillId="0" borderId="25" xfId="0" applyNumberFormat="1" applyFont="1" applyBorder="1" applyAlignment="1">
      <alignment horizontal="center"/>
    </xf>
    <xf numFmtId="0" fontId="13" fillId="0" borderId="57" xfId="0" applyFont="1" applyBorder="1"/>
    <xf numFmtId="0" fontId="14" fillId="0" borderId="4" xfId="0" applyFont="1" applyBorder="1" applyAlignment="1">
      <alignment horizontal="center" vertical="center"/>
    </xf>
    <xf numFmtId="0" fontId="14" fillId="0" borderId="40" xfId="0" applyFont="1" applyBorder="1" applyAlignment="1">
      <alignment horizontal="center" vertical="center"/>
    </xf>
    <xf numFmtId="0" fontId="14" fillId="0" borderId="41" xfId="0" applyFont="1" applyBorder="1" applyAlignment="1">
      <alignment horizontal="center" vertical="center"/>
    </xf>
    <xf numFmtId="0" fontId="13" fillId="2" borderId="57" xfId="0" applyFont="1" applyFill="1" applyBorder="1"/>
    <xf numFmtId="0" fontId="13" fillId="2" borderId="37" xfId="0" applyFont="1" applyFill="1" applyBorder="1" applyAlignment="1">
      <alignment horizontal="center" vertical="center" wrapText="1"/>
    </xf>
    <xf numFmtId="0" fontId="7" fillId="0" borderId="24" xfId="0" applyFont="1" applyBorder="1" applyAlignment="1">
      <alignment horizontal="center" vertical="center" wrapText="1"/>
    </xf>
    <xf numFmtId="0" fontId="7" fillId="0" borderId="24" xfId="0" applyFont="1" applyBorder="1" applyAlignment="1">
      <alignment vertical="center" wrapText="1"/>
    </xf>
    <xf numFmtId="0" fontId="7" fillId="0" borderId="10" xfId="0" applyFont="1" applyBorder="1" applyAlignment="1">
      <alignment vertical="center" wrapText="1"/>
    </xf>
    <xf numFmtId="0" fontId="14" fillId="2" borderId="30" xfId="0" applyFont="1" applyFill="1" applyBorder="1" applyAlignment="1">
      <alignment horizontal="center"/>
    </xf>
    <xf numFmtId="0" fontId="14" fillId="2" borderId="52" xfId="0" applyFont="1" applyFill="1" applyBorder="1" applyAlignment="1">
      <alignment horizontal="center"/>
    </xf>
    <xf numFmtId="0" fontId="14" fillId="2" borderId="34" xfId="0" applyFont="1" applyFill="1" applyBorder="1" applyAlignment="1">
      <alignment horizontal="center"/>
    </xf>
    <xf numFmtId="0" fontId="14" fillId="2" borderId="22" xfId="0" applyFont="1" applyFill="1" applyBorder="1" applyAlignment="1">
      <alignment horizontal="center"/>
    </xf>
    <xf numFmtId="0" fontId="0" fillId="0" borderId="0" xfId="0" applyBorder="1" applyAlignment="1">
      <alignment horizontal="center"/>
    </xf>
    <xf numFmtId="3" fontId="0" fillId="0" borderId="0" xfId="0" applyNumberFormat="1" applyBorder="1" applyAlignment="1">
      <alignment horizontal="center"/>
    </xf>
    <xf numFmtId="0" fontId="17" fillId="0" borderId="0" xfId="0" applyFont="1" applyBorder="1" applyAlignment="1">
      <alignment horizontal="center"/>
    </xf>
    <xf numFmtId="0" fontId="11" fillId="2" borderId="4" xfId="0" applyFont="1" applyFill="1" applyBorder="1" applyAlignment="1">
      <alignment horizontal="center" wrapText="1"/>
    </xf>
    <xf numFmtId="0" fontId="11" fillId="2" borderId="4" xfId="0" applyFont="1" applyFill="1" applyBorder="1" applyAlignment="1">
      <alignment horizontal="center" vertical="center" wrapText="1"/>
    </xf>
    <xf numFmtId="0" fontId="0" fillId="0" borderId="0" xfId="0" applyBorder="1" applyAlignment="1">
      <alignment vertical="center"/>
    </xf>
    <xf numFmtId="9" fontId="0" fillId="0" borderId="0" xfId="0" applyNumberFormat="1" applyBorder="1"/>
    <xf numFmtId="3" fontId="17" fillId="0" borderId="0" xfId="0" applyNumberFormat="1" applyFont="1" applyBorder="1" applyAlignment="1">
      <alignment horizontal="center" vertical="center" wrapText="1"/>
    </xf>
    <xf numFmtId="0" fontId="8" fillId="0" borderId="17" xfId="0" applyFont="1" applyBorder="1" applyAlignment="1">
      <alignment horizontal="left"/>
    </xf>
    <xf numFmtId="0" fontId="0" fillId="0" borderId="0" xfId="0" applyAlignment="1">
      <alignment vertical="center"/>
    </xf>
    <xf numFmtId="9" fontId="0" fillId="0" borderId="0" xfId="0" applyNumberFormat="1" applyBorder="1" applyAlignment="1">
      <alignment vertical="center"/>
    </xf>
    <xf numFmtId="0" fontId="3" fillId="0" borderId="0" xfId="0" applyFont="1" applyBorder="1" applyAlignment="1">
      <alignment vertical="center"/>
    </xf>
    <xf numFmtId="3" fontId="15" fillId="4" borderId="24" xfId="0" applyNumberFormat="1" applyFont="1" applyFill="1" applyBorder="1" applyAlignment="1">
      <alignment horizontal="center" vertical="center"/>
    </xf>
    <xf numFmtId="3" fontId="14" fillId="4" borderId="24" xfId="0" applyNumberFormat="1" applyFont="1" applyFill="1" applyBorder="1" applyAlignment="1">
      <alignment horizontal="center" vertical="center"/>
    </xf>
    <xf numFmtId="3" fontId="11" fillId="0" borderId="38" xfId="0" applyNumberFormat="1" applyFont="1" applyBorder="1" applyAlignment="1">
      <alignment horizontal="center" vertical="center"/>
    </xf>
    <xf numFmtId="3" fontId="11" fillId="0" borderId="10" xfId="0" applyNumberFormat="1" applyFont="1" applyBorder="1" applyAlignment="1">
      <alignment horizontal="center"/>
    </xf>
    <xf numFmtId="3" fontId="11" fillId="0" borderId="51" xfId="0" applyNumberFormat="1" applyFont="1" applyBorder="1" applyAlignment="1">
      <alignment horizontal="center"/>
    </xf>
    <xf numFmtId="0" fontId="3" fillId="0" borderId="30" xfId="0" applyFont="1" applyBorder="1" applyAlignment="1">
      <alignment horizontal="center" vertical="center" wrapText="1"/>
    </xf>
    <xf numFmtId="0" fontId="14" fillId="0" borderId="30" xfId="0" applyFont="1" applyBorder="1" applyAlignment="1">
      <alignment horizontal="center" wrapText="1"/>
    </xf>
    <xf numFmtId="0" fontId="11" fillId="0" borderId="28" xfId="0" applyFont="1" applyBorder="1" applyAlignment="1">
      <alignment horizontal="center" vertical="center"/>
    </xf>
    <xf numFmtId="9" fontId="14" fillId="0" borderId="19" xfId="0" applyNumberFormat="1" applyFont="1" applyBorder="1" applyAlignment="1">
      <alignment horizontal="center"/>
    </xf>
    <xf numFmtId="9" fontId="11" fillId="0" borderId="23" xfId="0" applyNumberFormat="1" applyFont="1" applyBorder="1" applyAlignment="1">
      <alignment horizontal="center"/>
    </xf>
    <xf numFmtId="3" fontId="11" fillId="0" borderId="43" xfId="0" applyNumberFormat="1" applyFont="1" applyBorder="1" applyAlignment="1">
      <alignment horizontal="center"/>
    </xf>
    <xf numFmtId="3" fontId="11" fillId="0" borderId="51" xfId="0" applyNumberFormat="1" applyFont="1" applyBorder="1" applyAlignment="1">
      <alignment horizontal="center" vertical="center"/>
    </xf>
    <xf numFmtId="0" fontId="11" fillId="0" borderId="28" xfId="0" applyFont="1" applyBorder="1" applyAlignment="1">
      <alignment horizontal="center"/>
    </xf>
    <xf numFmtId="9" fontId="11" fillId="0" borderId="23" xfId="0" applyNumberFormat="1" applyFont="1" applyBorder="1" applyAlignment="1">
      <alignment horizontal="center" vertical="center"/>
    </xf>
    <xf numFmtId="9" fontId="14" fillId="0" borderId="38" xfId="0" applyNumberFormat="1" applyFont="1" applyBorder="1" applyAlignment="1">
      <alignment horizontal="center"/>
    </xf>
    <xf numFmtId="0" fontId="3" fillId="0" borderId="15" xfId="0" applyFont="1" applyBorder="1" applyAlignment="1">
      <alignment vertical="center"/>
    </xf>
    <xf numFmtId="0" fontId="0" fillId="0" borderId="60" xfId="0" applyFont="1" applyBorder="1" applyAlignment="1">
      <alignment vertical="center"/>
    </xf>
    <xf numFmtId="0" fontId="0" fillId="0" borderId="18" xfId="0" applyBorder="1" applyAlignment="1">
      <alignment horizontal="left"/>
    </xf>
    <xf numFmtId="0" fontId="0" fillId="0" borderId="21" xfId="0" applyFont="1" applyBorder="1" applyAlignment="1">
      <alignment horizontal="left" vertical="center" wrapText="1"/>
    </xf>
    <xf numFmtId="0" fontId="0" fillId="0" borderId="21" xfId="0" applyBorder="1" applyAlignment="1">
      <alignment horizontal="left" vertical="center" wrapText="1"/>
    </xf>
    <xf numFmtId="3" fontId="11" fillId="0" borderId="55" xfId="0" applyNumberFormat="1" applyFont="1" applyBorder="1" applyAlignment="1">
      <alignment horizontal="center" vertical="center"/>
    </xf>
    <xf numFmtId="3" fontId="11" fillId="0" borderId="57" xfId="0" applyNumberFormat="1" applyFont="1" applyBorder="1" applyAlignment="1">
      <alignment horizontal="center" vertical="center"/>
    </xf>
    <xf numFmtId="0" fontId="14" fillId="2" borderId="57" xfId="0" applyFont="1" applyFill="1" applyBorder="1" applyAlignment="1">
      <alignment vertical="center" wrapText="1"/>
    </xf>
    <xf numFmtId="0" fontId="14" fillId="2" borderId="58" xfId="0" applyFont="1" applyFill="1" applyBorder="1" applyAlignment="1">
      <alignment vertical="center" wrapText="1"/>
    </xf>
    <xf numFmtId="0" fontId="14" fillId="2" borderId="12" xfId="0" applyFont="1" applyFill="1" applyBorder="1" applyAlignment="1">
      <alignment vertical="center" wrapText="1"/>
    </xf>
    <xf numFmtId="3" fontId="11" fillId="0" borderId="47" xfId="0" applyNumberFormat="1" applyFont="1" applyBorder="1" applyAlignment="1">
      <alignment horizontal="center" vertical="center"/>
    </xf>
    <xf numFmtId="3" fontId="14" fillId="2" borderId="37" xfId="0" applyNumberFormat="1" applyFont="1" applyFill="1" applyBorder="1" applyAlignment="1">
      <alignment horizontal="center" vertical="center"/>
    </xf>
    <xf numFmtId="0" fontId="0" fillId="0" borderId="13" xfId="0" applyFont="1" applyBorder="1" applyAlignment="1">
      <alignment horizontal="left" vertical="center" wrapText="1"/>
    </xf>
    <xf numFmtId="9" fontId="11" fillId="0" borderId="47" xfId="0" applyNumberFormat="1" applyFont="1" applyBorder="1" applyAlignment="1">
      <alignment horizontal="center" vertical="center"/>
    </xf>
    <xf numFmtId="9" fontId="11" fillId="0" borderId="49" xfId="0" applyNumberFormat="1" applyFont="1" applyBorder="1" applyAlignment="1">
      <alignment horizontal="center" vertical="center"/>
    </xf>
    <xf numFmtId="9" fontId="11" fillId="0" borderId="63" xfId="0" applyNumberFormat="1" applyFont="1" applyBorder="1" applyAlignment="1">
      <alignment horizontal="center" vertical="center"/>
    </xf>
    <xf numFmtId="0" fontId="0" fillId="0" borderId="46" xfId="0" applyFont="1" applyBorder="1" applyAlignment="1">
      <alignment vertical="center"/>
    </xf>
    <xf numFmtId="0" fontId="0" fillId="0" borderId="34" xfId="0" applyFont="1" applyBorder="1" applyAlignment="1">
      <alignment vertical="center" wrapText="1"/>
    </xf>
    <xf numFmtId="0" fontId="3" fillId="0" borderId="45" xfId="0" applyFont="1" applyBorder="1" applyAlignment="1">
      <alignment horizontal="center" wrapText="1"/>
    </xf>
    <xf numFmtId="0" fontId="11" fillId="2" borderId="11" xfId="0" applyFont="1" applyFill="1" applyBorder="1" applyAlignment="1">
      <alignment horizontal="center"/>
    </xf>
    <xf numFmtId="9" fontId="11" fillId="0" borderId="11" xfId="0" applyNumberFormat="1" applyFont="1" applyBorder="1" applyAlignment="1">
      <alignment horizontal="center" vertical="center"/>
    </xf>
    <xf numFmtId="0" fontId="27" fillId="0" borderId="26" xfId="0" applyFont="1" applyBorder="1" applyAlignment="1">
      <alignment horizontal="left" vertical="center" wrapText="1"/>
    </xf>
    <xf numFmtId="0" fontId="0" fillId="0" borderId="0" xfId="0" applyBorder="1" applyAlignment="1">
      <alignment horizontal="center"/>
    </xf>
    <xf numFmtId="3" fontId="0" fillId="0" borderId="0" xfId="0" applyNumberFormat="1" applyBorder="1" applyAlignment="1">
      <alignment horizontal="center"/>
    </xf>
    <xf numFmtId="0" fontId="22" fillId="2" borderId="0" xfId="0" applyFont="1" applyFill="1" applyBorder="1" applyAlignment="1">
      <alignment horizontal="center" vertical="center"/>
    </xf>
    <xf numFmtId="0" fontId="0" fillId="0" borderId="0" xfId="0" applyFont="1" applyAlignment="1">
      <alignment vertical="center"/>
    </xf>
    <xf numFmtId="0" fontId="9" fillId="0" borderId="32" xfId="0" applyFont="1" applyBorder="1" applyAlignment="1">
      <alignment horizontal="justify" vertical="center" wrapText="1"/>
    </xf>
    <xf numFmtId="0" fontId="9" fillId="0" borderId="12" xfId="0" applyFont="1" applyBorder="1" applyAlignment="1">
      <alignment horizontal="justify" vertical="center" wrapText="1"/>
    </xf>
    <xf numFmtId="0" fontId="9" fillId="0" borderId="5" xfId="0" applyFont="1" applyBorder="1" applyAlignment="1">
      <alignment horizontal="center" vertical="center"/>
    </xf>
    <xf numFmtId="0" fontId="9" fillId="0" borderId="33"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7" xfId="0" applyFont="1" applyBorder="1" applyAlignment="1">
      <alignment horizontal="center" vertical="center"/>
    </xf>
    <xf numFmtId="0" fontId="9" fillId="0" borderId="17" xfId="0" applyFont="1" applyBorder="1" applyAlignment="1">
      <alignment horizontal="justify" vertical="center"/>
    </xf>
    <xf numFmtId="3" fontId="0" fillId="0" borderId="0" xfId="0" applyNumberFormat="1" applyBorder="1" applyAlignment="1">
      <alignment horizontal="center" vertical="center" wrapText="1"/>
    </xf>
    <xf numFmtId="3" fontId="31" fillId="0" borderId="0" xfId="0" applyNumberFormat="1" applyFont="1" applyBorder="1" applyAlignment="1">
      <alignment horizontal="center" vertical="center"/>
    </xf>
    <xf numFmtId="0" fontId="11" fillId="0" borderId="0" xfId="0" applyFont="1" applyAlignment="1">
      <alignment vertical="center"/>
    </xf>
    <xf numFmtId="0" fontId="30" fillId="0" borderId="0" xfId="0" applyFont="1" applyBorder="1"/>
    <xf numFmtId="0" fontId="30" fillId="0" borderId="0" xfId="0" applyFont="1" applyBorder="1" applyAlignment="1">
      <alignment horizontal="center"/>
    </xf>
    <xf numFmtId="166" fontId="30" fillId="0" borderId="0" xfId="0" applyNumberFormat="1" applyFont="1" applyBorder="1" applyAlignment="1">
      <alignment horizontal="center"/>
    </xf>
    <xf numFmtId="3" fontId="14" fillId="0" borderId="0" xfId="0" applyNumberFormat="1" applyFont="1" applyBorder="1" applyAlignment="1">
      <alignment horizontal="left" vertical="center"/>
    </xf>
    <xf numFmtId="3" fontId="14" fillId="0" borderId="0" xfId="0" applyNumberFormat="1" applyFont="1" applyBorder="1" applyAlignment="1">
      <alignment horizontal="center" vertical="center"/>
    </xf>
    <xf numFmtId="3" fontId="11" fillId="0" borderId="0" xfId="0" applyNumberFormat="1" applyFont="1" applyBorder="1" applyAlignment="1">
      <alignment horizontal="center" vertical="center"/>
    </xf>
    <xf numFmtId="0" fontId="32" fillId="0" borderId="0" xfId="0" applyFont="1" applyBorder="1" applyAlignment="1">
      <alignment horizontal="center" vertical="center"/>
    </xf>
    <xf numFmtId="0" fontId="0" fillId="0" borderId="0" xfId="0" applyFont="1" applyBorder="1" applyAlignment="1">
      <alignment vertical="center"/>
    </xf>
    <xf numFmtId="3" fontId="3" fillId="0" borderId="0" xfId="0" applyNumberFormat="1" applyFont="1" applyBorder="1" applyAlignment="1">
      <alignment horizontal="center" vertical="center"/>
    </xf>
    <xf numFmtId="9" fontId="3" fillId="0" borderId="0" xfId="0" applyNumberFormat="1" applyFont="1" applyBorder="1" applyAlignment="1">
      <alignment horizontal="center" vertical="center"/>
    </xf>
    <xf numFmtId="0" fontId="14" fillId="0" borderId="0" xfId="0" applyFont="1" applyBorder="1" applyAlignment="1">
      <alignment horizontal="center" vertical="center" wrapText="1"/>
    </xf>
    <xf numFmtId="0" fontId="3" fillId="0" borderId="0" xfId="0" applyFont="1" applyAlignment="1">
      <alignment vertical="center"/>
    </xf>
    <xf numFmtId="0" fontId="14" fillId="0" borderId="0" xfId="0" applyFont="1" applyBorder="1" applyAlignment="1">
      <alignment vertical="center" wrapText="1"/>
    </xf>
    <xf numFmtId="0" fontId="17" fillId="2" borderId="0" xfId="0" applyFont="1" applyFill="1" applyBorder="1" applyAlignment="1">
      <alignment horizontal="center" vertical="center" wrapText="1"/>
    </xf>
    <xf numFmtId="3" fontId="14" fillId="0" borderId="0" xfId="0" applyNumberFormat="1" applyFont="1" applyBorder="1" applyAlignment="1">
      <alignment horizontal="center" vertical="center" wrapText="1"/>
    </xf>
    <xf numFmtId="3" fontId="11" fillId="0" borderId="0" xfId="0" applyNumberFormat="1" applyFont="1" applyBorder="1" applyAlignment="1">
      <alignment horizontal="center"/>
    </xf>
    <xf numFmtId="173" fontId="0" fillId="0" borderId="0" xfId="0" applyNumberFormat="1" applyBorder="1"/>
    <xf numFmtId="0" fontId="0" fillId="0" borderId="0" xfId="0" quotePrefix="1" applyBorder="1" applyAlignment="1">
      <alignment horizontal="right"/>
    </xf>
    <xf numFmtId="0" fontId="33" fillId="2" borderId="0" xfId="0" applyFont="1" applyFill="1" applyBorder="1" applyAlignment="1">
      <alignment vertical="center"/>
    </xf>
    <xf numFmtId="0" fontId="33" fillId="2" borderId="0" xfId="0" applyFont="1" applyFill="1" applyBorder="1" applyAlignment="1">
      <alignment vertical="center" wrapText="1"/>
    </xf>
    <xf numFmtId="0" fontId="33" fillId="2" borderId="0" xfId="0" applyFont="1" applyFill="1" applyBorder="1" applyAlignment="1">
      <alignment horizontal="center" vertical="center" wrapText="1"/>
    </xf>
    <xf numFmtId="0" fontId="33" fillId="2" borderId="0" xfId="0" applyFont="1" applyFill="1" applyBorder="1" applyAlignment="1">
      <alignment horizontal="left" vertical="center" wrapText="1"/>
    </xf>
    <xf numFmtId="0" fontId="5" fillId="2" borderId="0" xfId="0" applyFont="1" applyFill="1" applyBorder="1" applyAlignment="1">
      <alignment vertical="center" wrapText="1"/>
    </xf>
    <xf numFmtId="0" fontId="36" fillId="0" borderId="0" xfId="0" applyFont="1" applyAlignment="1">
      <alignment vertical="center"/>
    </xf>
    <xf numFmtId="0" fontId="36" fillId="0" borderId="0" xfId="0" applyFont="1" applyAlignment="1">
      <alignment horizontal="left" vertical="center"/>
    </xf>
    <xf numFmtId="0" fontId="34" fillId="2" borderId="0" xfId="0" applyFont="1" applyFill="1" applyBorder="1"/>
    <xf numFmtId="0" fontId="33" fillId="2" borderId="0" xfId="0" applyFont="1" applyFill="1" applyBorder="1" applyAlignment="1">
      <alignment horizontal="center" vertical="center"/>
    </xf>
    <xf numFmtId="0" fontId="0" fillId="0" borderId="0" xfId="0" applyAlignment="1">
      <alignment horizontal="left" vertical="center"/>
    </xf>
    <xf numFmtId="0" fontId="37" fillId="0" borderId="0" xfId="0" applyFont="1" applyBorder="1" applyAlignment="1">
      <alignment vertical="center" wrapText="1"/>
    </xf>
    <xf numFmtId="0" fontId="10" fillId="2" borderId="0" xfId="0" applyFont="1" applyFill="1" applyBorder="1" applyAlignment="1">
      <alignment vertical="center"/>
    </xf>
    <xf numFmtId="0" fontId="10" fillId="2" borderId="0" xfId="0" applyFont="1" applyFill="1" applyBorder="1"/>
    <xf numFmtId="0" fontId="0" fillId="2" borderId="0" xfId="0" applyFill="1"/>
    <xf numFmtId="0" fontId="34" fillId="2" borderId="0" xfId="0" applyFont="1" applyFill="1" applyBorder="1" applyAlignment="1">
      <alignment vertical="center" wrapText="1"/>
    </xf>
    <xf numFmtId="0" fontId="3" fillId="2" borderId="0" xfId="0" applyFont="1" applyFill="1"/>
    <xf numFmtId="0" fontId="17" fillId="2" borderId="0" xfId="0" applyFont="1" applyFill="1" applyBorder="1" applyAlignment="1">
      <alignment vertical="center" wrapText="1"/>
    </xf>
    <xf numFmtId="0" fontId="11" fillId="0" borderId="0" xfId="0" applyFont="1"/>
    <xf numFmtId="0" fontId="38" fillId="0" borderId="0" xfId="0" applyFont="1" applyBorder="1" applyAlignment="1">
      <alignment horizontal="center" vertical="center"/>
    </xf>
    <xf numFmtId="3" fontId="39" fillId="0" borderId="0" xfId="0" applyNumberFormat="1" applyFont="1" applyBorder="1" applyAlignment="1">
      <alignment horizontal="center" vertical="center"/>
    </xf>
    <xf numFmtId="0" fontId="11" fillId="0" borderId="0" xfId="0" applyFont="1" applyAlignment="1">
      <alignment horizontal="center" vertical="center"/>
    </xf>
    <xf numFmtId="3" fontId="11" fillId="0" borderId="0" xfId="0" applyNumberFormat="1" applyFont="1" applyAlignment="1">
      <alignment vertical="center"/>
    </xf>
    <xf numFmtId="3" fontId="11" fillId="0" borderId="0" xfId="0" applyNumberFormat="1" applyFont="1"/>
    <xf numFmtId="0" fontId="14" fillId="0" borderId="0" xfId="0" applyFont="1" applyAlignment="1">
      <alignment vertical="center"/>
    </xf>
    <xf numFmtId="3" fontId="14" fillId="0" borderId="0" xfId="0" applyNumberFormat="1" applyFont="1" applyAlignment="1">
      <alignment horizontal="center" vertical="center"/>
    </xf>
    <xf numFmtId="0" fontId="14" fillId="0" borderId="0" xfId="0" applyFont="1" applyAlignment="1">
      <alignment horizontal="center" vertical="center"/>
    </xf>
    <xf numFmtId="0" fontId="14" fillId="0" borderId="0" xfId="0" applyFont="1" applyBorder="1" applyAlignment="1">
      <alignment horizontal="center" vertical="center"/>
    </xf>
    <xf numFmtId="0" fontId="11" fillId="0" borderId="0" xfId="0" applyFont="1" applyAlignment="1"/>
    <xf numFmtId="3" fontId="14" fillId="0" borderId="0" xfId="0" applyNumberFormat="1" applyFont="1" applyBorder="1" applyAlignment="1">
      <alignment horizontal="center"/>
    </xf>
    <xf numFmtId="0" fontId="34" fillId="2" borderId="0" xfId="0" applyFont="1" applyFill="1" applyBorder="1" applyAlignment="1">
      <alignment horizontal="left" vertical="center"/>
    </xf>
    <xf numFmtId="0" fontId="34" fillId="2" borderId="0" xfId="0" applyFont="1" applyFill="1" applyBorder="1" applyAlignment="1">
      <alignment vertical="center"/>
    </xf>
    <xf numFmtId="0" fontId="0" fillId="0" borderId="0" xfId="0" applyAlignment="1">
      <alignment horizontal="center"/>
    </xf>
    <xf numFmtId="0" fontId="40" fillId="2" borderId="0" xfId="0" applyFont="1" applyFill="1" applyBorder="1" applyAlignment="1">
      <alignment horizontal="center" vertical="center"/>
    </xf>
    <xf numFmtId="0" fontId="21" fillId="9" borderId="6" xfId="0" applyFont="1" applyFill="1" applyBorder="1" applyAlignment="1">
      <alignment horizontal="center" vertical="center"/>
    </xf>
    <xf numFmtId="3" fontId="3" fillId="0" borderId="0" xfId="0" applyNumberFormat="1" applyFont="1" applyAlignment="1">
      <alignment horizontal="center" vertical="center"/>
    </xf>
    <xf numFmtId="2" fontId="3" fillId="0" borderId="0" xfId="0" applyNumberFormat="1" applyFont="1" applyAlignment="1"/>
    <xf numFmtId="3" fontId="3" fillId="0" borderId="0" xfId="0" applyNumberFormat="1" applyFont="1" applyAlignment="1">
      <alignment horizontal="center"/>
    </xf>
    <xf numFmtId="0" fontId="0" fillId="0" borderId="0" xfId="0" applyAlignment="1">
      <alignment horizontal="center"/>
    </xf>
    <xf numFmtId="3" fontId="0" fillId="0" borderId="0" xfId="0" applyNumberFormat="1" applyBorder="1" applyAlignment="1">
      <alignment horizontal="center"/>
    </xf>
    <xf numFmtId="0" fontId="0" fillId="0" borderId="0" xfId="0" applyBorder="1" applyAlignment="1">
      <alignment horizontal="center"/>
    </xf>
    <xf numFmtId="0" fontId="0" fillId="0" borderId="1" xfId="0" applyBorder="1" applyAlignment="1">
      <alignment horizontal="left"/>
    </xf>
    <xf numFmtId="0" fontId="0" fillId="0" borderId="0" xfId="0" applyBorder="1" applyAlignment="1">
      <alignment horizontal="left" vertical="center"/>
    </xf>
    <xf numFmtId="0" fontId="0" fillId="0" borderId="0" xfId="0" applyBorder="1" applyAlignment="1">
      <alignment horizontal="center" vertical="center"/>
    </xf>
    <xf numFmtId="0" fontId="17" fillId="0" borderId="68" xfId="0" applyFont="1" applyBorder="1" applyAlignment="1"/>
    <xf numFmtId="0" fontId="17" fillId="0" borderId="37" xfId="0" applyFont="1" applyBorder="1" applyAlignment="1"/>
    <xf numFmtId="0" fontId="41" fillId="0" borderId="0" xfId="0" applyFont="1" applyBorder="1" applyAlignment="1">
      <alignment vertical="center"/>
    </xf>
    <xf numFmtId="0" fontId="41" fillId="0" borderId="14" xfId="0" applyFont="1" applyBorder="1" applyAlignment="1">
      <alignment vertical="center"/>
    </xf>
    <xf numFmtId="0" fontId="0" fillId="0" borderId="0" xfId="0" applyAlignment="1">
      <alignment horizontal="left" wrapText="1"/>
    </xf>
    <xf numFmtId="0" fontId="8" fillId="0" borderId="1" xfId="0" applyFont="1" applyBorder="1" applyAlignment="1">
      <alignment horizontal="left"/>
    </xf>
    <xf numFmtId="0" fontId="8" fillId="0" borderId="7" xfId="0" applyFont="1" applyBorder="1" applyAlignment="1">
      <alignment horizontal="left" vertical="center"/>
    </xf>
    <xf numFmtId="0" fontId="0" fillId="0" borderId="5" xfId="0" applyBorder="1" applyAlignment="1">
      <alignment vertical="center"/>
    </xf>
    <xf numFmtId="0" fontId="0" fillId="0" borderId="11" xfId="0" applyBorder="1" applyAlignment="1">
      <alignment vertical="center"/>
    </xf>
    <xf numFmtId="0" fontId="0" fillId="0" borderId="0" xfId="0" applyAlignment="1">
      <alignment horizontal="center" vertical="center"/>
    </xf>
    <xf numFmtId="3" fontId="0" fillId="0" borderId="0" xfId="0" applyNumberFormat="1" applyAlignment="1">
      <alignment horizontal="center" vertical="center"/>
    </xf>
    <xf numFmtId="3" fontId="17" fillId="2" borderId="0" xfId="0" applyNumberFormat="1" applyFont="1" applyFill="1" applyBorder="1" applyAlignment="1">
      <alignment vertical="center" wrapText="1"/>
    </xf>
    <xf numFmtId="3" fontId="11" fillId="0" borderId="0" xfId="0" applyNumberFormat="1" applyFont="1" applyAlignment="1">
      <alignment horizontal="center" vertical="center"/>
    </xf>
    <xf numFmtId="3" fontId="11" fillId="0" borderId="0" xfId="0" applyNumberFormat="1" applyFont="1" applyBorder="1" applyAlignment="1">
      <alignment horizontal="center" vertical="center" wrapText="1"/>
    </xf>
    <xf numFmtId="3" fontId="3" fillId="0" borderId="0" xfId="0" applyNumberFormat="1" applyFont="1" applyBorder="1" applyAlignment="1">
      <alignment horizontal="center" vertical="center" wrapText="1"/>
    </xf>
    <xf numFmtId="10" fontId="0" fillId="0" borderId="0" xfId="0" applyNumberFormat="1" applyAlignment="1">
      <alignment vertical="center"/>
    </xf>
    <xf numFmtId="3" fontId="17" fillId="2" borderId="0" xfId="0" applyNumberFormat="1" applyFont="1" applyFill="1" applyBorder="1" applyAlignment="1">
      <alignment horizontal="center" vertical="center" wrapText="1"/>
    </xf>
    <xf numFmtId="3" fontId="17" fillId="2" borderId="0" xfId="0" applyNumberFormat="1" applyFont="1" applyFill="1" applyBorder="1" applyAlignment="1">
      <alignment vertical="top" wrapText="1"/>
    </xf>
    <xf numFmtId="0" fontId="0" fillId="0" borderId="0" xfId="0" applyAlignment="1">
      <alignment horizontal="center"/>
    </xf>
    <xf numFmtId="3" fontId="0" fillId="0" borderId="0" xfId="0" applyNumberFormat="1" applyBorder="1" applyAlignment="1">
      <alignment horizontal="center"/>
    </xf>
    <xf numFmtId="0" fontId="0" fillId="0" borderId="0" xfId="0" applyBorder="1" applyAlignment="1">
      <alignment horizontal="center"/>
    </xf>
    <xf numFmtId="3" fontId="0" fillId="0" borderId="0" xfId="0" applyNumberFormat="1" applyBorder="1" applyAlignment="1">
      <alignment horizontal="center" vertical="center"/>
    </xf>
    <xf numFmtId="0" fontId="3" fillId="0" borderId="0" xfId="0" applyFont="1" applyBorder="1" applyAlignment="1">
      <alignment horizontal="center" vertical="center"/>
    </xf>
    <xf numFmtId="0" fontId="0" fillId="0" borderId="0" xfId="0" applyAlignment="1">
      <alignment horizontal="center"/>
    </xf>
    <xf numFmtId="0" fontId="0" fillId="0" borderId="0" xfId="0" applyBorder="1" applyAlignment="1">
      <alignment horizontal="center"/>
    </xf>
    <xf numFmtId="3" fontId="0" fillId="0" borderId="0" xfId="0" applyNumberFormat="1" applyBorder="1" applyAlignment="1">
      <alignment horizontal="center" vertical="center"/>
    </xf>
    <xf numFmtId="0" fontId="8" fillId="0" borderId="0" xfId="0" applyFont="1" applyAlignment="1">
      <alignment horizontal="center"/>
    </xf>
    <xf numFmtId="3" fontId="8" fillId="0" borderId="0" xfId="0" applyNumberFormat="1" applyFont="1" applyAlignment="1"/>
    <xf numFmtId="3" fontId="8" fillId="0" borderId="0" xfId="0" applyNumberFormat="1" applyFont="1" applyAlignment="1">
      <alignment horizontal="center"/>
    </xf>
    <xf numFmtId="3" fontId="42" fillId="0" borderId="0" xfId="0" applyNumberFormat="1" applyFont="1" applyAlignment="1">
      <alignment horizontal="center"/>
    </xf>
    <xf numFmtId="4" fontId="14" fillId="0" borderId="0" xfId="0" applyNumberFormat="1" applyFont="1" applyBorder="1" applyAlignment="1">
      <alignment horizontal="center"/>
    </xf>
    <xf numFmtId="0" fontId="0" fillId="2" borderId="0" xfId="0" applyFill="1" applyBorder="1" applyAlignment="1">
      <alignment horizontal="center"/>
    </xf>
    <xf numFmtId="3" fontId="0" fillId="0" borderId="0" xfId="0" applyNumberFormat="1" applyAlignment="1">
      <alignment vertical="center"/>
    </xf>
    <xf numFmtId="9" fontId="0" fillId="0" borderId="0" xfId="0" applyNumberFormat="1" applyBorder="1" applyAlignment="1">
      <alignment horizontal="center" vertical="center"/>
    </xf>
    <xf numFmtId="3" fontId="0" fillId="0" borderId="0" xfId="0" applyNumberFormat="1" applyFont="1" applyBorder="1" applyAlignment="1">
      <alignment horizontal="center"/>
    </xf>
    <xf numFmtId="3" fontId="3" fillId="0" borderId="0" xfId="0" applyNumberFormat="1" applyFont="1" applyBorder="1" applyAlignment="1">
      <alignment horizontal="center"/>
    </xf>
    <xf numFmtId="9" fontId="11" fillId="0" borderId="0" xfId="0" applyNumberFormat="1" applyFont="1" applyBorder="1" applyAlignment="1">
      <alignment horizontal="center" vertical="center"/>
    </xf>
    <xf numFmtId="3" fontId="17" fillId="2" borderId="0" xfId="0" applyNumberFormat="1" applyFont="1" applyFill="1" applyBorder="1" applyAlignment="1">
      <alignment wrapText="1"/>
    </xf>
    <xf numFmtId="0" fontId="17" fillId="2" borderId="0" xfId="0" applyFont="1" applyFill="1" applyBorder="1" applyAlignment="1">
      <alignment vertical="center"/>
    </xf>
    <xf numFmtId="164" fontId="0" fillId="0" borderId="0" xfId="0" applyNumberFormat="1" applyBorder="1"/>
    <xf numFmtId="164" fontId="0" fillId="0" borderId="0" xfId="0" applyNumberFormat="1" applyBorder="1" applyAlignment="1">
      <alignment horizontal="center"/>
    </xf>
    <xf numFmtId="3" fontId="14" fillId="2" borderId="0" xfId="0" applyNumberFormat="1" applyFont="1" applyFill="1" applyBorder="1" applyAlignment="1"/>
    <xf numFmtId="176" fontId="14" fillId="2" borderId="0" xfId="0" applyNumberFormat="1" applyFont="1" applyFill="1" applyBorder="1" applyAlignment="1"/>
    <xf numFmtId="0" fontId="0" fillId="0" borderId="0" xfId="0" applyBorder="1" applyAlignment="1">
      <alignment horizontal="center"/>
    </xf>
    <xf numFmtId="0" fontId="43" fillId="0" borderId="0" xfId="0" applyFont="1" applyBorder="1" applyAlignment="1">
      <alignment vertical="center"/>
    </xf>
    <xf numFmtId="0" fontId="35" fillId="2" borderId="0" xfId="0" applyFont="1" applyFill="1" applyBorder="1" applyAlignment="1">
      <alignment vertical="center" wrapText="1"/>
    </xf>
    <xf numFmtId="0" fontId="45" fillId="0" borderId="0" xfId="0" applyFont="1" applyAlignment="1">
      <alignment horizontal="left" vertical="center"/>
    </xf>
    <xf numFmtId="0" fontId="45" fillId="0" borderId="0" xfId="0" applyFont="1" applyAlignment="1">
      <alignment vertical="center"/>
    </xf>
    <xf numFmtId="0" fontId="35" fillId="2" borderId="0" xfId="0" applyFont="1" applyFill="1" applyBorder="1" applyAlignment="1">
      <alignment vertical="center"/>
    </xf>
    <xf numFmtId="0" fontId="35" fillId="2" borderId="0" xfId="0" applyFont="1" applyFill="1" applyBorder="1" applyAlignment="1">
      <alignment horizontal="left" vertical="center" wrapText="1"/>
    </xf>
    <xf numFmtId="0" fontId="50" fillId="2" borderId="0" xfId="0" applyFont="1" applyFill="1" applyBorder="1" applyAlignment="1">
      <alignment vertical="center" wrapText="1"/>
    </xf>
    <xf numFmtId="2" fontId="3" fillId="0" borderId="0" xfId="0" applyNumberFormat="1" applyFont="1" applyAlignment="1">
      <alignment horizontal="center" vertical="center"/>
    </xf>
    <xf numFmtId="2" fontId="3" fillId="0" borderId="0" xfId="0" applyNumberFormat="1" applyFont="1" applyBorder="1" applyAlignment="1">
      <alignment horizontal="center" vertical="center"/>
    </xf>
    <xf numFmtId="0" fontId="3" fillId="0" borderId="0" xfId="0" applyFont="1" applyBorder="1" applyAlignment="1"/>
    <xf numFmtId="0" fontId="0" fillId="0" borderId="19" xfId="0" applyBorder="1"/>
    <xf numFmtId="0" fontId="52" fillId="2" borderId="0" xfId="0" applyFont="1" applyFill="1" applyBorder="1" applyAlignment="1">
      <alignment vertical="center"/>
    </xf>
    <xf numFmtId="0" fontId="52" fillId="2" borderId="0" xfId="0" applyFont="1" applyFill="1" applyBorder="1" applyAlignment="1">
      <alignment vertical="center" wrapText="1"/>
    </xf>
    <xf numFmtId="0" fontId="17" fillId="2" borderId="68" xfId="0" applyFont="1" applyFill="1" applyBorder="1" applyAlignment="1"/>
    <xf numFmtId="0" fontId="17" fillId="2" borderId="50" xfId="0" applyFont="1" applyFill="1" applyBorder="1" applyAlignment="1">
      <alignment horizontal="left"/>
    </xf>
    <xf numFmtId="0" fontId="8" fillId="0" borderId="0" xfId="0" applyFont="1" applyBorder="1" applyAlignment="1">
      <alignment horizontal="left" vertical="center" wrapText="1"/>
    </xf>
    <xf numFmtId="0" fontId="8" fillId="0" borderId="0" xfId="0" applyFont="1" applyBorder="1" applyAlignment="1">
      <alignment horizontal="left" vertical="center"/>
    </xf>
    <xf numFmtId="0" fontId="0" fillId="0" borderId="0" xfId="0" applyAlignment="1">
      <alignment horizontal="center"/>
    </xf>
    <xf numFmtId="0" fontId="8" fillId="0" borderId="14" xfId="0" applyFont="1" applyBorder="1" applyAlignment="1">
      <alignment horizontal="left" vertical="center" wrapText="1"/>
    </xf>
    <xf numFmtId="0" fontId="0" fillId="0" borderId="0" xfId="0" applyAlignment="1">
      <alignment horizontal="center"/>
    </xf>
    <xf numFmtId="0" fontId="0" fillId="0" borderId="0" xfId="0" applyBorder="1" applyAlignment="1">
      <alignment horizontal="center"/>
    </xf>
    <xf numFmtId="3" fontId="0" fillId="0" borderId="0" xfId="0" applyNumberFormat="1" applyBorder="1" applyAlignment="1">
      <alignment horizontal="center" vertical="center"/>
    </xf>
    <xf numFmtId="0" fontId="8" fillId="0" borderId="11" xfId="0" applyFont="1" applyBorder="1" applyAlignment="1">
      <alignment horizontal="left" vertical="center" wrapText="1"/>
    </xf>
    <xf numFmtId="0" fontId="8" fillId="0" borderId="14" xfId="0" applyFont="1" applyBorder="1" applyAlignment="1">
      <alignment vertical="center" wrapText="1"/>
    </xf>
    <xf numFmtId="0" fontId="8" fillId="0" borderId="0" xfId="0" applyFont="1" applyBorder="1" applyAlignment="1">
      <alignment horizontal="center" vertical="center" wrapText="1"/>
    </xf>
    <xf numFmtId="4" fontId="4" fillId="0" borderId="0" xfId="0" applyNumberFormat="1" applyFont="1" applyBorder="1" applyAlignment="1">
      <alignment horizontal="center" vertical="center" wrapText="1"/>
    </xf>
    <xf numFmtId="3" fontId="47" fillId="0" borderId="0" xfId="0" applyNumberFormat="1" applyFont="1" applyBorder="1" applyAlignment="1">
      <alignment horizontal="center" vertical="center" wrapText="1"/>
    </xf>
    <xf numFmtId="175" fontId="0" fillId="0" borderId="0" xfId="0" applyNumberFormat="1" applyBorder="1" applyAlignment="1">
      <alignment horizontal="center"/>
    </xf>
    <xf numFmtId="3" fontId="47" fillId="0" borderId="0" xfId="0" applyNumberFormat="1" applyFont="1" applyBorder="1" applyAlignment="1">
      <alignment horizontal="center" vertical="center" wrapText="1"/>
    </xf>
    <xf numFmtId="0" fontId="8" fillId="0" borderId="0" xfId="0" applyFont="1" applyBorder="1" applyAlignment="1">
      <alignment vertical="center"/>
    </xf>
    <xf numFmtId="0" fontId="8" fillId="2" borderId="0" xfId="0" applyFont="1" applyFill="1" applyBorder="1" applyAlignment="1">
      <alignment vertical="center"/>
    </xf>
    <xf numFmtId="0" fontId="8" fillId="0" borderId="5" xfId="0" applyFont="1" applyBorder="1" applyAlignment="1">
      <alignment horizontal="center" vertical="center" wrapText="1"/>
    </xf>
    <xf numFmtId="0" fontId="8" fillId="0" borderId="0" xfId="0" applyFont="1" applyBorder="1" applyAlignment="1">
      <alignment horizontal="center" vertical="center"/>
    </xf>
    <xf numFmtId="0" fontId="0" fillId="0" borderId="0" xfId="0" applyFont="1" applyAlignment="1">
      <alignment horizontal="center"/>
    </xf>
    <xf numFmtId="0" fontId="3" fillId="2" borderId="0" xfId="0" applyFont="1" applyFill="1" applyBorder="1" applyAlignment="1">
      <alignment horizontal="center" vertical="center" wrapText="1"/>
    </xf>
    <xf numFmtId="0" fontId="0" fillId="0" borderId="0" xfId="0" applyFont="1" applyBorder="1" applyAlignment="1">
      <alignment horizontal="center" vertical="center"/>
    </xf>
    <xf numFmtId="3" fontId="53" fillId="0" borderId="0" xfId="0" applyNumberFormat="1" applyFont="1" applyBorder="1" applyAlignment="1">
      <alignment horizontal="center" vertical="center" wrapText="1"/>
    </xf>
    <xf numFmtId="0" fontId="21" fillId="2" borderId="0" xfId="0" applyFont="1" applyFill="1" applyBorder="1" applyAlignment="1">
      <alignment horizontal="center" vertical="center"/>
    </xf>
    <xf numFmtId="0" fontId="8" fillId="0" borderId="16" xfId="0" applyFont="1" applyBorder="1" applyAlignment="1">
      <alignment vertical="center" wrapText="1"/>
    </xf>
    <xf numFmtId="0" fontId="8" fillId="0" borderId="0" xfId="0" applyFont="1" applyBorder="1" applyAlignment="1">
      <alignment horizontal="left" vertical="center" wrapText="1"/>
    </xf>
    <xf numFmtId="0" fontId="0" fillId="0" borderId="0" xfId="0" applyAlignment="1">
      <alignment horizontal="center"/>
    </xf>
    <xf numFmtId="0" fontId="0" fillId="0" borderId="0" xfId="0" applyBorder="1" applyAlignment="1">
      <alignment horizontal="center"/>
    </xf>
    <xf numFmtId="3" fontId="0" fillId="0" borderId="0" xfId="0" applyNumberFormat="1" applyBorder="1" applyAlignment="1">
      <alignment horizontal="center"/>
    </xf>
    <xf numFmtId="3" fontId="7" fillId="2" borderId="18" xfId="0" applyNumberFormat="1" applyFont="1" applyFill="1" applyBorder="1" applyAlignment="1">
      <alignment horizontal="center" vertical="center"/>
    </xf>
    <xf numFmtId="3" fontId="25" fillId="0" borderId="4" xfId="0" applyNumberFormat="1" applyFont="1" applyBorder="1" applyAlignment="1">
      <alignment horizontal="center" vertical="center"/>
    </xf>
    <xf numFmtId="3" fontId="25" fillId="0" borderId="19" xfId="0" applyNumberFormat="1" applyFont="1" applyBorder="1" applyAlignment="1">
      <alignment horizontal="center" vertical="center"/>
    </xf>
    <xf numFmtId="3" fontId="25" fillId="0" borderId="18" xfId="0" applyNumberFormat="1" applyFont="1" applyBorder="1" applyAlignment="1">
      <alignment horizontal="center" vertical="center"/>
    </xf>
    <xf numFmtId="3" fontId="7" fillId="0" borderId="18" xfId="0" applyNumberFormat="1" applyFont="1" applyBorder="1" applyAlignment="1">
      <alignment horizontal="center" vertical="center"/>
    </xf>
    <xf numFmtId="3" fontId="25" fillId="0" borderId="21" xfId="0" applyNumberFormat="1" applyFont="1" applyBorder="1" applyAlignment="1">
      <alignment horizontal="center" vertical="center"/>
    </xf>
    <xf numFmtId="3" fontId="25" fillId="0" borderId="22" xfId="0" applyNumberFormat="1" applyFont="1" applyBorder="1" applyAlignment="1">
      <alignment horizontal="center" vertical="center"/>
    </xf>
    <xf numFmtId="3" fontId="25" fillId="0" borderId="23" xfId="0" applyNumberFormat="1" applyFont="1" applyBorder="1" applyAlignment="1">
      <alignment horizontal="center" vertical="center"/>
    </xf>
    <xf numFmtId="3" fontId="25" fillId="3" borderId="34" xfId="0" applyNumberFormat="1" applyFont="1" applyFill="1" applyBorder="1" applyAlignment="1">
      <alignment horizontal="center" vertical="center"/>
    </xf>
    <xf numFmtId="3" fontId="25" fillId="3" borderId="23" xfId="0" applyNumberFormat="1" applyFont="1" applyFill="1" applyBorder="1" applyAlignment="1">
      <alignment horizontal="center" vertical="center"/>
    </xf>
    <xf numFmtId="3" fontId="25" fillId="3" borderId="19" xfId="0" applyNumberFormat="1" applyFont="1" applyFill="1" applyBorder="1" applyAlignment="1">
      <alignment horizontal="center" vertical="center"/>
    </xf>
    <xf numFmtId="3" fontId="25" fillId="3" borderId="46" xfId="0" applyNumberFormat="1" applyFont="1" applyFill="1" applyBorder="1" applyAlignment="1">
      <alignment horizontal="center" vertical="center"/>
    </xf>
    <xf numFmtId="1" fontId="25" fillId="0" borderId="45" xfId="0" applyNumberFormat="1" applyFont="1" applyBorder="1" applyAlignment="1">
      <alignment horizontal="center" vertical="center"/>
    </xf>
    <xf numFmtId="3" fontId="25" fillId="0" borderId="45" xfId="0" applyNumberFormat="1" applyFont="1" applyBorder="1" applyAlignment="1">
      <alignment horizontal="center" vertical="center"/>
    </xf>
    <xf numFmtId="166" fontId="25" fillId="0" borderId="34" xfId="0" applyNumberFormat="1" applyFont="1" applyBorder="1" applyAlignment="1">
      <alignment horizontal="center" vertical="center"/>
    </xf>
    <xf numFmtId="0" fontId="25" fillId="0" borderId="62" xfId="0" applyFont="1" applyBorder="1" applyAlignment="1">
      <alignment horizontal="center" vertical="center"/>
    </xf>
    <xf numFmtId="3" fontId="25" fillId="0" borderId="66" xfId="0" applyNumberFormat="1" applyFont="1" applyBorder="1" applyAlignment="1">
      <alignment horizontal="center" vertical="center"/>
    </xf>
    <xf numFmtId="3" fontId="25" fillId="0" borderId="67" xfId="0" applyNumberFormat="1" applyFont="1" applyBorder="1" applyAlignment="1">
      <alignment horizontal="center" vertical="center"/>
    </xf>
    <xf numFmtId="0" fontId="42" fillId="0" borderId="64" xfId="0" applyFont="1" applyBorder="1" applyAlignment="1">
      <alignment vertical="center" wrapText="1"/>
    </xf>
    <xf numFmtId="3" fontId="7" fillId="0" borderId="53" xfId="0" applyNumberFormat="1" applyFont="1" applyBorder="1" applyAlignment="1">
      <alignment horizontal="center" vertical="center"/>
    </xf>
    <xf numFmtId="3" fontId="49" fillId="0" borderId="20" xfId="0" applyNumberFormat="1" applyFont="1" applyBorder="1" applyAlignment="1">
      <alignment horizontal="center" vertical="center" wrapText="1"/>
    </xf>
    <xf numFmtId="3" fontId="49" fillId="0" borderId="24" xfId="0" applyNumberFormat="1" applyFont="1" applyBorder="1" applyAlignment="1">
      <alignment horizontal="center" wrapText="1"/>
    </xf>
    <xf numFmtId="3" fontId="25" fillId="0" borderId="25" xfId="0" applyNumberFormat="1" applyFont="1" applyBorder="1" applyAlignment="1">
      <alignment horizontal="center"/>
    </xf>
    <xf numFmtId="0" fontId="42" fillId="0" borderId="45" xfId="0" applyFont="1" applyBorder="1" applyAlignment="1">
      <alignment vertical="center"/>
    </xf>
    <xf numFmtId="9" fontId="8" fillId="0" borderId="46" xfId="0" applyNumberFormat="1" applyFont="1" applyBorder="1" applyAlignment="1">
      <alignment horizontal="center"/>
    </xf>
    <xf numFmtId="3" fontId="42" fillId="0" borderId="44" xfId="0" applyNumberFormat="1" applyFont="1" applyBorder="1" applyAlignment="1">
      <alignment horizontal="center"/>
    </xf>
    <xf numFmtId="3" fontId="35" fillId="0" borderId="18" xfId="0" applyNumberFormat="1" applyFont="1" applyBorder="1" applyAlignment="1">
      <alignment horizontal="center" vertical="center" wrapText="1"/>
    </xf>
    <xf numFmtId="3" fontId="35" fillId="0" borderId="4" xfId="0" applyNumberFormat="1" applyFont="1" applyBorder="1" applyAlignment="1">
      <alignment horizontal="center" wrapText="1"/>
    </xf>
    <xf numFmtId="3" fontId="42" fillId="0" borderId="19" xfId="0" applyNumberFormat="1" applyFont="1" applyBorder="1" applyAlignment="1">
      <alignment horizontal="center"/>
    </xf>
    <xf numFmtId="0" fontId="42" fillId="0" borderId="46" xfId="0" applyFont="1" applyBorder="1" applyAlignment="1"/>
    <xf numFmtId="0" fontId="25" fillId="0" borderId="34" xfId="0" applyFont="1" applyBorder="1" applyAlignment="1">
      <alignment horizontal="left" vertical="center"/>
    </xf>
    <xf numFmtId="9" fontId="7" fillId="0" borderId="46" xfId="0" applyNumberFormat="1" applyFont="1" applyBorder="1" applyAlignment="1">
      <alignment horizontal="center" vertical="center"/>
    </xf>
    <xf numFmtId="3" fontId="25" fillId="0" borderId="44" xfId="0" applyNumberFormat="1" applyFont="1" applyBorder="1" applyAlignment="1">
      <alignment horizontal="center" vertical="center"/>
    </xf>
    <xf numFmtId="3" fontId="49" fillId="0" borderId="18" xfId="0" applyNumberFormat="1" applyFont="1" applyBorder="1" applyAlignment="1">
      <alignment horizontal="center" vertical="center" wrapText="1"/>
    </xf>
    <xf numFmtId="3" fontId="49" fillId="0" borderId="4" xfId="0" applyNumberFormat="1" applyFont="1" applyBorder="1" applyAlignment="1">
      <alignment horizontal="center" wrapText="1"/>
    </xf>
    <xf numFmtId="3" fontId="25" fillId="0" borderId="19" xfId="0" applyNumberFormat="1" applyFont="1" applyBorder="1" applyAlignment="1">
      <alignment horizontal="center"/>
    </xf>
    <xf numFmtId="0" fontId="35" fillId="0" borderId="46" xfId="0" applyFont="1" applyBorder="1" applyAlignment="1">
      <alignment horizontal="left" vertical="center"/>
    </xf>
    <xf numFmtId="9" fontId="43" fillId="0" borderId="46" xfId="0" applyNumberFormat="1" applyFont="1" applyBorder="1" applyAlignment="1">
      <alignment horizontal="center" vertical="center"/>
    </xf>
    <xf numFmtId="3" fontId="35" fillId="0" borderId="44" xfId="0" applyNumberFormat="1" applyFont="1" applyBorder="1" applyAlignment="1">
      <alignment horizontal="center" vertical="center"/>
    </xf>
    <xf numFmtId="3" fontId="35" fillId="0" borderId="18" xfId="0" applyNumberFormat="1" applyFont="1" applyBorder="1" applyAlignment="1">
      <alignment horizontal="center" vertical="center"/>
    </xf>
    <xf numFmtId="3" fontId="35" fillId="0" borderId="4" xfId="0" applyNumberFormat="1" applyFont="1" applyBorder="1" applyAlignment="1">
      <alignment horizontal="center"/>
    </xf>
    <xf numFmtId="167" fontId="35" fillId="0" borderId="46" xfId="0" applyNumberFormat="1" applyFont="1" applyBorder="1" applyAlignment="1">
      <alignment vertical="center"/>
    </xf>
    <xf numFmtId="167" fontId="49" fillId="0" borderId="46" xfId="0" applyNumberFormat="1" applyFont="1" applyBorder="1" applyAlignment="1">
      <alignment vertical="center"/>
    </xf>
    <xf numFmtId="9" fontId="49" fillId="0" borderId="46" xfId="0" applyNumberFormat="1" applyFont="1" applyBorder="1" applyAlignment="1">
      <alignment horizontal="center" vertical="center"/>
    </xf>
    <xf numFmtId="3" fontId="49" fillId="0" borderId="44" xfId="0" applyNumberFormat="1" applyFont="1" applyBorder="1" applyAlignment="1">
      <alignment horizontal="center" vertical="center"/>
    </xf>
    <xf numFmtId="3" fontId="49" fillId="0" borderId="18" xfId="0" applyNumberFormat="1" applyFont="1" applyBorder="1" applyAlignment="1">
      <alignment horizontal="center" vertical="center"/>
    </xf>
    <xf numFmtId="3" fontId="49" fillId="0" borderId="4" xfId="0" applyNumberFormat="1" applyFont="1" applyBorder="1" applyAlignment="1">
      <alignment horizontal="center"/>
    </xf>
    <xf numFmtId="0" fontId="35" fillId="0" borderId="46" xfId="0" applyFont="1" applyBorder="1" applyAlignment="1">
      <alignment horizontal="left" vertical="center" wrapText="1"/>
    </xf>
    <xf numFmtId="3" fontId="43" fillId="0" borderId="44" xfId="0" applyNumberFormat="1" applyFont="1" applyBorder="1" applyAlignment="1">
      <alignment horizontal="center" vertical="center"/>
    </xf>
    <xf numFmtId="9" fontId="44" fillId="0" borderId="46" xfId="0" applyNumberFormat="1" applyFont="1" applyBorder="1" applyAlignment="1">
      <alignment horizontal="center" vertical="center"/>
    </xf>
    <xf numFmtId="3" fontId="44" fillId="0" borderId="44" xfId="0" applyNumberFormat="1" applyFont="1" applyBorder="1" applyAlignment="1">
      <alignment horizontal="center" vertical="center"/>
    </xf>
    <xf numFmtId="9" fontId="35" fillId="0" borderId="46" xfId="0" applyNumberFormat="1" applyFont="1" applyBorder="1" applyAlignment="1">
      <alignment horizontal="center" vertical="center"/>
    </xf>
    <xf numFmtId="0" fontId="35" fillId="0" borderId="64" xfId="0" applyFont="1" applyBorder="1" applyAlignment="1">
      <alignment horizontal="left" vertical="center"/>
    </xf>
    <xf numFmtId="0" fontId="25" fillId="0" borderId="46" xfId="0" applyFont="1" applyBorder="1"/>
    <xf numFmtId="9" fontId="7" fillId="0" borderId="46" xfId="0" applyNumberFormat="1" applyFont="1" applyBorder="1" applyAlignment="1">
      <alignment horizontal="center"/>
    </xf>
    <xf numFmtId="3" fontId="7" fillId="0" borderId="44" xfId="0" applyNumberFormat="1" applyFont="1" applyBorder="1" applyAlignment="1">
      <alignment horizontal="center"/>
    </xf>
    <xf numFmtId="3" fontId="25" fillId="0" borderId="18" xfId="0" applyNumberFormat="1" applyFont="1" applyBorder="1" applyAlignment="1">
      <alignment horizontal="center"/>
    </xf>
    <xf numFmtId="3" fontId="25" fillId="0" borderId="4" xfId="0" applyNumberFormat="1" applyFont="1" applyBorder="1" applyAlignment="1">
      <alignment horizontal="center"/>
    </xf>
    <xf numFmtId="3" fontId="7" fillId="0" borderId="54" xfId="0" applyNumberFormat="1" applyFont="1" applyBorder="1" applyAlignment="1">
      <alignment horizontal="center" vertical="center"/>
    </xf>
    <xf numFmtId="3" fontId="25" fillId="0" borderId="29" xfId="0" applyNumberFormat="1" applyFont="1" applyBorder="1" applyAlignment="1">
      <alignment horizontal="center" vertical="center"/>
    </xf>
    <xf numFmtId="3" fontId="25" fillId="0" borderId="30" xfId="0" applyNumberFormat="1" applyFont="1" applyBorder="1" applyAlignment="1">
      <alignment horizontal="center" vertical="center"/>
    </xf>
    <xf numFmtId="3" fontId="25" fillId="0" borderId="31" xfId="0" applyNumberFormat="1" applyFont="1" applyBorder="1" applyAlignment="1">
      <alignment horizontal="center" vertical="center"/>
    </xf>
    <xf numFmtId="0" fontId="42" fillId="0" borderId="32" xfId="0" applyFont="1" applyBorder="1" applyAlignment="1">
      <alignment vertical="center" wrapText="1"/>
    </xf>
    <xf numFmtId="3" fontId="7" fillId="0" borderId="6" xfId="0" applyNumberFormat="1" applyFont="1" applyBorder="1" applyAlignment="1">
      <alignment horizontal="center"/>
    </xf>
    <xf numFmtId="3" fontId="25" fillId="0" borderId="62" xfId="0" applyNumberFormat="1" applyFont="1" applyBorder="1" applyAlignment="1">
      <alignment horizontal="center"/>
    </xf>
    <xf numFmtId="3" fontId="25" fillId="0" borderId="66" xfId="0" applyNumberFormat="1" applyFont="1" applyBorder="1" applyAlignment="1">
      <alignment horizontal="center"/>
    </xf>
    <xf numFmtId="3" fontId="25" fillId="0" borderId="67" xfId="0" applyNumberFormat="1" applyFont="1" applyBorder="1" applyAlignment="1">
      <alignment horizontal="center"/>
    </xf>
    <xf numFmtId="0" fontId="25" fillId="0" borderId="32" xfId="0" applyFont="1" applyBorder="1" applyAlignment="1">
      <alignment vertical="center" wrapText="1"/>
    </xf>
    <xf numFmtId="9" fontId="7" fillId="0" borderId="32" xfId="0" applyNumberFormat="1" applyFont="1" applyBorder="1" applyAlignment="1">
      <alignment horizontal="center" vertical="center"/>
    </xf>
    <xf numFmtId="3" fontId="7" fillId="0" borderId="32" xfId="0" applyNumberFormat="1" applyFont="1" applyBorder="1" applyAlignment="1">
      <alignment horizontal="center" vertical="center"/>
    </xf>
    <xf numFmtId="9" fontId="7" fillId="0" borderId="60" xfId="0" applyNumberFormat="1" applyFont="1" applyBorder="1" applyAlignment="1">
      <alignment horizontal="center" vertical="center"/>
    </xf>
    <xf numFmtId="9" fontId="7" fillId="0" borderId="64" xfId="0" applyNumberFormat="1" applyFont="1" applyBorder="1" applyAlignment="1">
      <alignment horizontal="center" vertical="center"/>
    </xf>
    <xf numFmtId="9" fontId="7" fillId="0" borderId="32" xfId="0" applyNumberFormat="1" applyFont="1" applyBorder="1" applyAlignment="1">
      <alignment horizontal="center"/>
    </xf>
    <xf numFmtId="3" fontId="25" fillId="3" borderId="32" xfId="0" applyNumberFormat="1" applyFont="1" applyFill="1" applyBorder="1" applyAlignment="1">
      <alignment horizontal="center" vertical="center"/>
    </xf>
    <xf numFmtId="4" fontId="14" fillId="0" borderId="0" xfId="0" applyNumberFormat="1" applyFont="1" applyBorder="1" applyAlignment="1">
      <alignment horizontal="center" vertical="center"/>
    </xf>
    <xf numFmtId="3" fontId="6" fillId="0" borderId="0" xfId="0" applyNumberFormat="1" applyFont="1" applyBorder="1" applyAlignment="1">
      <alignment horizontal="center" vertical="center"/>
    </xf>
    <xf numFmtId="0" fontId="8" fillId="0" borderId="17" xfId="0" applyFont="1" applyBorder="1" applyAlignment="1">
      <alignment horizontal="left" vertical="center"/>
    </xf>
    <xf numFmtId="0" fontId="8" fillId="0" borderId="0" xfId="0" applyFont="1" applyBorder="1" applyAlignment="1">
      <alignment horizontal="left" vertical="center"/>
    </xf>
    <xf numFmtId="0" fontId="8" fillId="0" borderId="14" xfId="0" applyFont="1" applyBorder="1" applyAlignment="1">
      <alignment horizontal="left" vertical="center"/>
    </xf>
    <xf numFmtId="0" fontId="45" fillId="0" borderId="0" xfId="0" applyFont="1" applyAlignment="1">
      <alignment horizontal="left" vertical="center"/>
    </xf>
    <xf numFmtId="0" fontId="43" fillId="0" borderId="0" xfId="0" applyFont="1" applyAlignment="1">
      <alignment horizontal="left" vertical="center"/>
    </xf>
    <xf numFmtId="0" fontId="44" fillId="0" borderId="15" xfId="0" applyFont="1" applyBorder="1" applyAlignment="1">
      <alignment horizontal="center" vertical="center" wrapText="1"/>
    </xf>
    <xf numFmtId="3" fontId="25" fillId="0" borderId="12" xfId="0" applyNumberFormat="1" applyFont="1" applyBorder="1" applyAlignment="1">
      <alignment horizontal="center" vertical="center" wrapText="1"/>
    </xf>
    <xf numFmtId="0" fontId="8" fillId="0" borderId="7" xfId="0" applyFont="1" applyBorder="1" applyAlignment="1">
      <alignment horizontal="left" vertical="center"/>
    </xf>
    <xf numFmtId="0" fontId="2" fillId="0" borderId="0" xfId="0" applyFont="1"/>
    <xf numFmtId="0" fontId="7" fillId="0" borderId="18" xfId="0" applyFont="1" applyBorder="1" applyAlignment="1">
      <alignment horizontal="center"/>
    </xf>
    <xf numFmtId="3" fontId="7" fillId="0" borderId="4" xfId="0" applyNumberFormat="1" applyFont="1" applyBorder="1" applyAlignment="1">
      <alignment horizontal="center"/>
    </xf>
    <xf numFmtId="3" fontId="7" fillId="0" borderId="19" xfId="0" applyNumberFormat="1" applyFont="1" applyBorder="1" applyAlignment="1">
      <alignment horizontal="center"/>
    </xf>
    <xf numFmtId="0" fontId="7" fillId="0" borderId="18" xfId="0" applyFont="1" applyBorder="1" applyAlignment="1">
      <alignment horizontal="center" vertical="center"/>
    </xf>
    <xf numFmtId="3" fontId="7" fillId="0" borderId="4" xfId="0" applyNumberFormat="1" applyFont="1" applyBorder="1" applyAlignment="1">
      <alignment horizontal="center" vertical="center"/>
    </xf>
    <xf numFmtId="3" fontId="7" fillId="0" borderId="19" xfId="0" applyNumberFormat="1" applyFont="1" applyBorder="1" applyAlignment="1">
      <alignment horizontal="center" vertical="center"/>
    </xf>
    <xf numFmtId="0" fontId="2" fillId="0" borderId="0" xfId="0" applyFont="1" applyAlignment="1">
      <alignment vertical="center"/>
    </xf>
    <xf numFmtId="0" fontId="7" fillId="0" borderId="21" xfId="0" applyFont="1" applyBorder="1" applyAlignment="1">
      <alignment horizontal="center" vertical="center"/>
    </xf>
    <xf numFmtId="3" fontId="7" fillId="0" borderId="22" xfId="0" applyNumberFormat="1" applyFont="1" applyBorder="1" applyAlignment="1">
      <alignment horizontal="center" vertical="center"/>
    </xf>
    <xf numFmtId="3" fontId="7" fillId="0" borderId="23" xfId="0" applyNumberFormat="1" applyFont="1" applyBorder="1" applyAlignment="1">
      <alignment horizontal="center" vertical="center"/>
    </xf>
    <xf numFmtId="0" fontId="2" fillId="0" borderId="0" xfId="0" applyFont="1" applyAlignment="1">
      <alignment horizontal="center"/>
    </xf>
    <xf numFmtId="0" fontId="7" fillId="0" borderId="18" xfId="0" applyFont="1" applyBorder="1"/>
    <xf numFmtId="0" fontId="7" fillId="0" borderId="4" xfId="0" applyFont="1" applyBorder="1"/>
    <xf numFmtId="0" fontId="7" fillId="0" borderId="18" xfId="0" applyFont="1" applyBorder="1" applyAlignment="1">
      <alignment vertical="center"/>
    </xf>
    <xf numFmtId="0" fontId="7" fillId="0" borderId="4" xfId="0" applyFont="1" applyBorder="1" applyAlignment="1">
      <alignment vertical="center"/>
    </xf>
    <xf numFmtId="176" fontId="7" fillId="3" borderId="23" xfId="0" applyNumberFormat="1" applyFont="1" applyFill="1" applyBorder="1" applyAlignment="1">
      <alignment horizontal="center" vertical="center"/>
    </xf>
    <xf numFmtId="0" fontId="0" fillId="0" borderId="1" xfId="0" applyBorder="1" applyAlignment="1">
      <alignment horizontal="left" vertical="center"/>
    </xf>
    <xf numFmtId="0" fontId="0" fillId="0" borderId="2" xfId="0" applyBorder="1" applyAlignment="1">
      <alignment horizontal="left" vertical="center"/>
    </xf>
    <xf numFmtId="0" fontId="0" fillId="0" borderId="16" xfId="0" applyBorder="1" applyAlignment="1">
      <alignment horizontal="left" vertical="center"/>
    </xf>
    <xf numFmtId="0" fontId="0" fillId="0" borderId="14" xfId="0" applyBorder="1" applyAlignment="1">
      <alignment horizontal="left" vertical="center"/>
    </xf>
    <xf numFmtId="0" fontId="17" fillId="0" borderId="5" xfId="0" applyFont="1" applyBorder="1" applyAlignment="1">
      <alignment horizontal="left" vertical="center"/>
    </xf>
    <xf numFmtId="0" fontId="17" fillId="0" borderId="11" xfId="0" applyFont="1" applyBorder="1" applyAlignment="1">
      <alignment horizontal="left" vertical="center"/>
    </xf>
    <xf numFmtId="0" fontId="0" fillId="0" borderId="5" xfId="0" applyBorder="1" applyAlignment="1">
      <alignment horizontal="left" vertical="center"/>
    </xf>
    <xf numFmtId="0" fontId="0" fillId="0" borderId="11" xfId="0" applyBorder="1" applyAlignment="1">
      <alignment horizontal="left" vertical="center"/>
    </xf>
    <xf numFmtId="0" fontId="21" fillId="0" borderId="26" xfId="0" applyFont="1" applyBorder="1" applyAlignment="1">
      <alignment horizontal="center" vertical="center"/>
    </xf>
    <xf numFmtId="0" fontId="5" fillId="0" borderId="18" xfId="0" applyFont="1" applyBorder="1" applyAlignment="1">
      <alignment horizontal="right" vertical="center"/>
    </xf>
    <xf numFmtId="2" fontId="21" fillId="0" borderId="18" xfId="0" applyNumberFormat="1" applyFont="1" applyBorder="1" applyAlignment="1">
      <alignment horizontal="center" vertical="center"/>
    </xf>
    <xf numFmtId="0" fontId="17" fillId="0" borderId="7" xfId="0" applyFont="1" applyBorder="1" applyAlignment="1">
      <alignment horizontal="left" vertical="center" wrapText="1"/>
    </xf>
    <xf numFmtId="0" fontId="55" fillId="2" borderId="18" xfId="0" applyFont="1" applyFill="1" applyBorder="1" applyAlignment="1">
      <alignment vertical="center"/>
    </xf>
    <xf numFmtId="169" fontId="49" fillId="7" borderId="4" xfId="1" applyNumberFormat="1" applyFont="1" applyFill="1" applyBorder="1" applyAlignment="1">
      <alignment vertical="center"/>
    </xf>
    <xf numFmtId="169" fontId="49" fillId="7" borderId="4" xfId="1" applyNumberFormat="1" applyFont="1" applyFill="1" applyBorder="1" applyAlignment="1">
      <alignment horizontal="center" vertical="center"/>
    </xf>
    <xf numFmtId="170" fontId="49" fillId="7" borderId="4" xfId="1" applyNumberFormat="1" applyFont="1" applyFill="1" applyBorder="1" applyAlignment="1">
      <alignment horizontal="center" vertical="center"/>
    </xf>
    <xf numFmtId="0" fontId="7" fillId="9" borderId="26" xfId="0" applyFont="1" applyFill="1" applyBorder="1" applyAlignment="1">
      <alignment horizontal="center" vertical="center"/>
    </xf>
    <xf numFmtId="170" fontId="49" fillId="9" borderId="27" xfId="2" applyNumberFormat="1" applyFont="1" applyFill="1" applyBorder="1" applyAlignment="1">
      <alignment horizontal="center" vertical="center" wrapText="1"/>
    </xf>
    <xf numFmtId="170" fontId="49" fillId="9" borderId="27" xfId="2" applyNumberFormat="1" applyFont="1" applyFill="1" applyBorder="1" applyAlignment="1">
      <alignment horizontal="center" vertical="center"/>
    </xf>
    <xf numFmtId="169" fontId="49" fillId="9" borderId="27" xfId="1" applyNumberFormat="1" applyFont="1" applyFill="1" applyBorder="1" applyAlignment="1">
      <alignment horizontal="center" wrapText="1"/>
    </xf>
    <xf numFmtId="3" fontId="7" fillId="2" borderId="28" xfId="0" applyNumberFormat="1" applyFont="1" applyFill="1" applyBorder="1" applyAlignment="1">
      <alignment horizontal="center" vertical="center"/>
    </xf>
    <xf numFmtId="170" fontId="55" fillId="0" borderId="4" xfId="2" applyNumberFormat="1" applyFont="1" applyBorder="1" applyAlignment="1">
      <alignment horizontal="center" vertical="center"/>
    </xf>
    <xf numFmtId="0" fontId="35" fillId="0" borderId="18" xfId="0" applyFont="1" applyBorder="1" applyAlignment="1">
      <alignment vertical="center" wrapText="1"/>
    </xf>
    <xf numFmtId="170" fontId="49" fillId="0" borderId="4" xfId="2" applyNumberFormat="1" applyFont="1" applyBorder="1" applyAlignment="1">
      <alignment vertical="center"/>
    </xf>
    <xf numFmtId="169" fontId="49" fillId="2" borderId="4" xfId="1" quotePrefix="1" applyNumberFormat="1" applyFont="1" applyFill="1" applyBorder="1" applyAlignment="1">
      <alignment horizontal="center" vertical="center"/>
    </xf>
    <xf numFmtId="0" fontId="2" fillId="2" borderId="4" xfId="0" applyFont="1" applyFill="1" applyBorder="1" applyAlignment="1">
      <alignment vertical="center"/>
    </xf>
    <xf numFmtId="3" fontId="7" fillId="7" borderId="19" xfId="0" applyNumberFormat="1" applyFont="1" applyFill="1" applyBorder="1" applyAlignment="1">
      <alignment horizontal="center" vertical="center"/>
    </xf>
    <xf numFmtId="0" fontId="35" fillId="0" borderId="18" xfId="0" applyFont="1" applyBorder="1" applyAlignment="1">
      <alignment horizontal="left" vertical="center"/>
    </xf>
    <xf numFmtId="9" fontId="49" fillId="10" borderId="4" xfId="2" applyNumberFormat="1" applyFont="1" applyFill="1" applyBorder="1" applyAlignment="1">
      <alignment horizontal="center" vertical="center"/>
    </xf>
    <xf numFmtId="0" fontId="49" fillId="2" borderId="4" xfId="1" quotePrefix="1" applyNumberFormat="1" applyFont="1" applyFill="1" applyBorder="1" applyAlignment="1">
      <alignment horizontal="center" vertical="center"/>
    </xf>
    <xf numFmtId="0" fontId="2" fillId="0" borderId="4" xfId="0" applyFont="1" applyBorder="1"/>
    <xf numFmtId="0" fontId="35" fillId="0" borderId="18" xfId="0" applyFont="1" applyBorder="1" applyAlignment="1">
      <alignment horizontal="left" vertical="center" wrapText="1"/>
    </xf>
    <xf numFmtId="170" fontId="49" fillId="0" borderId="4" xfId="2" applyNumberFormat="1" applyFont="1" applyBorder="1" applyAlignment="1">
      <alignment horizontal="center" vertical="center"/>
    </xf>
    <xf numFmtId="0" fontId="2" fillId="0" borderId="4" xfId="0" applyFont="1" applyBorder="1" applyAlignment="1">
      <alignment vertical="center"/>
    </xf>
    <xf numFmtId="170" fontId="49" fillId="10" borderId="4" xfId="2" applyNumberFormat="1" applyFont="1" applyFill="1" applyBorder="1" applyAlignment="1">
      <alignment horizontal="center" vertical="center"/>
    </xf>
    <xf numFmtId="169" fontId="49" fillId="2" borderId="4" xfId="1" applyNumberFormat="1" applyFont="1" applyFill="1" applyBorder="1" applyAlignment="1">
      <alignment horizontal="center" vertical="center"/>
    </xf>
    <xf numFmtId="169" fontId="49" fillId="0" borderId="4" xfId="1" applyNumberFormat="1" applyFont="1" applyFill="1" applyBorder="1" applyAlignment="1">
      <alignment horizontal="center" vertical="center"/>
    </xf>
    <xf numFmtId="0" fontId="2" fillId="0" borderId="18" xfId="0" applyFont="1" applyBorder="1"/>
    <xf numFmtId="169" fontId="56" fillId="0" borderId="4" xfId="1" applyNumberFormat="1" applyFont="1" applyBorder="1" applyAlignment="1">
      <alignment horizontal="center" vertical="center"/>
    </xf>
    <xf numFmtId="0" fontId="49" fillId="0" borderId="18" xfId="0" applyFont="1" applyBorder="1" applyAlignment="1">
      <alignment horizontal="left" vertical="center" wrapText="1"/>
    </xf>
    <xf numFmtId="9" fontId="49" fillId="5" borderId="4" xfId="2" applyNumberFormat="1" applyFont="1" applyFill="1" applyBorder="1" applyAlignment="1">
      <alignment horizontal="center" vertical="center"/>
    </xf>
    <xf numFmtId="0" fontId="51" fillId="0" borderId="18" xfId="0" applyFont="1" applyBorder="1" applyAlignment="1">
      <alignment horizontal="left" vertical="center" wrapText="1"/>
    </xf>
    <xf numFmtId="9" fontId="49" fillId="2" borderId="4" xfId="2" applyNumberFormat="1" applyFont="1" applyFill="1" applyBorder="1" applyAlignment="1">
      <alignment horizontal="center" vertical="center"/>
    </xf>
    <xf numFmtId="9" fontId="49" fillId="2" borderId="4" xfId="2" applyNumberFormat="1" applyFont="1" applyFill="1" applyBorder="1" applyAlignment="1">
      <alignment horizontal="center" vertical="top"/>
    </xf>
    <xf numFmtId="170" fontId="55" fillId="10" borderId="4" xfId="2" applyNumberFormat="1" applyFont="1" applyFill="1" applyBorder="1" applyAlignment="1">
      <alignment horizontal="center" vertical="center"/>
    </xf>
    <xf numFmtId="169" fontId="49" fillId="0" borderId="4" xfId="1" applyNumberFormat="1" applyFont="1" applyBorder="1" applyAlignment="1">
      <alignment horizontal="center" vertical="center"/>
    </xf>
    <xf numFmtId="9" fontId="2" fillId="0" borderId="4" xfId="0" applyNumberFormat="1" applyFont="1" applyBorder="1" applyAlignment="1">
      <alignment vertical="center"/>
    </xf>
    <xf numFmtId="0" fontId="7" fillId="0" borderId="18" xfId="0" applyFont="1" applyBorder="1" applyAlignment="1">
      <alignment vertical="center" wrapText="1"/>
    </xf>
    <xf numFmtId="169" fontId="2" fillId="0" borderId="4" xfId="0" applyNumberFormat="1" applyFont="1" applyBorder="1" applyAlignment="1">
      <alignment vertical="center"/>
    </xf>
    <xf numFmtId="0" fontId="7" fillId="0" borderId="18" xfId="0" applyFont="1" applyBorder="1" applyAlignment="1">
      <alignment horizontal="left" vertical="center"/>
    </xf>
    <xf numFmtId="168" fontId="55" fillId="2" borderId="4" xfId="2" applyNumberFormat="1" applyFont="1" applyFill="1" applyBorder="1" applyAlignment="1">
      <alignment horizontal="center" vertical="center"/>
    </xf>
    <xf numFmtId="174" fontId="49" fillId="10" borderId="4" xfId="1" applyNumberFormat="1" applyFont="1" applyFill="1" applyBorder="1" applyAlignment="1">
      <alignment horizontal="center" vertical="center"/>
    </xf>
    <xf numFmtId="0" fontId="7" fillId="0" borderId="18" xfId="0" applyFont="1" applyBorder="1" applyAlignment="1">
      <alignment horizontal="left" vertical="center" wrapText="1"/>
    </xf>
    <xf numFmtId="2" fontId="55" fillId="2" borderId="4" xfId="2" applyNumberFormat="1" applyFont="1" applyFill="1" applyBorder="1" applyAlignment="1">
      <alignment horizontal="center" vertical="center"/>
    </xf>
    <xf numFmtId="0" fontId="7" fillId="0" borderId="18" xfId="0" applyFont="1" applyBorder="1" applyAlignment="1">
      <alignment horizontal="left" wrapText="1"/>
    </xf>
    <xf numFmtId="2" fontId="55" fillId="2" borderId="4" xfId="2" applyNumberFormat="1" applyFont="1" applyFill="1" applyBorder="1" applyAlignment="1">
      <alignment horizontal="center"/>
    </xf>
    <xf numFmtId="174" fontId="49" fillId="10" borderId="4" xfId="1" applyNumberFormat="1" applyFont="1" applyFill="1" applyBorder="1" applyAlignment="1">
      <alignment horizontal="center"/>
    </xf>
    <xf numFmtId="0" fontId="2" fillId="0" borderId="4" xfId="0" applyFont="1" applyBorder="1" applyAlignment="1"/>
    <xf numFmtId="0" fontId="7" fillId="0" borderId="18" xfId="0" applyFont="1" applyBorder="1" applyAlignment="1">
      <alignment horizontal="left"/>
    </xf>
    <xf numFmtId="9" fontId="55" fillId="6" borderId="4" xfId="2" applyNumberFormat="1" applyFont="1" applyFill="1" applyBorder="1" applyAlignment="1">
      <alignment horizontal="center" vertical="center"/>
    </xf>
    <xf numFmtId="0" fontId="49" fillId="0" borderId="18" xfId="0" applyFont="1" applyBorder="1" applyAlignment="1">
      <alignment horizontal="left" vertical="center"/>
    </xf>
    <xf numFmtId="9" fontId="55" fillId="5" borderId="4" xfId="0" applyNumberFormat="1" applyFont="1" applyFill="1" applyBorder="1" applyAlignment="1">
      <alignment horizontal="center" vertical="center"/>
    </xf>
    <xf numFmtId="9" fontId="55" fillId="2" borderId="4" xfId="0" applyNumberFormat="1" applyFont="1" applyFill="1" applyBorder="1" applyAlignment="1">
      <alignment horizontal="center" vertical="center"/>
    </xf>
    <xf numFmtId="0" fontId="2" fillId="0" borderId="18" xfId="0" applyFont="1" applyBorder="1" applyAlignment="1">
      <alignment vertical="top" wrapText="1"/>
    </xf>
    <xf numFmtId="1" fontId="55" fillId="2" borderId="4" xfId="0" applyNumberFormat="1" applyFont="1" applyFill="1" applyBorder="1" applyAlignment="1">
      <alignment horizontal="center" vertical="center"/>
    </xf>
    <xf numFmtId="0" fontId="55" fillId="5" borderId="4" xfId="0" applyFont="1" applyFill="1" applyBorder="1" applyAlignment="1">
      <alignment horizontal="center" vertical="center"/>
    </xf>
    <xf numFmtId="0" fontId="2" fillId="0" borderId="18" xfId="0" applyFont="1" applyBorder="1" applyAlignment="1">
      <alignment vertical="center" wrapText="1"/>
    </xf>
    <xf numFmtId="166" fontId="55" fillId="2" borderId="4" xfId="0" applyNumberFormat="1" applyFont="1" applyFill="1" applyBorder="1" applyAlignment="1">
      <alignment horizontal="center" vertical="center"/>
    </xf>
    <xf numFmtId="175" fontId="7" fillId="7" borderId="19" xfId="0" applyNumberFormat="1" applyFont="1" applyFill="1" applyBorder="1" applyAlignment="1">
      <alignment horizontal="center" vertical="center"/>
    </xf>
    <xf numFmtId="0" fontId="55" fillId="0" borderId="4" xfId="0" applyFont="1" applyBorder="1" applyAlignment="1">
      <alignment horizontal="center" vertical="center"/>
    </xf>
    <xf numFmtId="9" fontId="55" fillId="0" borderId="4" xfId="0" applyNumberFormat="1" applyFont="1" applyBorder="1" applyAlignment="1">
      <alignment horizontal="center" vertical="center"/>
    </xf>
    <xf numFmtId="175" fontId="7" fillId="7" borderId="19" xfId="0" applyNumberFormat="1" applyFont="1" applyFill="1" applyBorder="1" applyAlignment="1">
      <alignment horizontal="center"/>
    </xf>
    <xf numFmtId="175" fontId="7" fillId="0" borderId="19" xfId="0" applyNumberFormat="1" applyFont="1" applyBorder="1" applyAlignment="1">
      <alignment horizontal="center"/>
    </xf>
    <xf numFmtId="0" fontId="55" fillId="2" borderId="4" xfId="0" applyFont="1" applyFill="1" applyBorder="1" applyAlignment="1">
      <alignment horizontal="center" vertical="center"/>
    </xf>
    <xf numFmtId="1" fontId="55" fillId="5" borderId="4" xfId="0" applyNumberFormat="1" applyFont="1" applyFill="1" applyBorder="1" applyAlignment="1">
      <alignment horizontal="center" vertical="center"/>
    </xf>
    <xf numFmtId="175" fontId="7" fillId="0" borderId="19" xfId="0" applyNumberFormat="1" applyFont="1" applyBorder="1" applyAlignment="1">
      <alignment horizontal="center" vertical="center"/>
    </xf>
    <xf numFmtId="175" fontId="55" fillId="2" borderId="4" xfId="0" applyNumberFormat="1" applyFont="1" applyFill="1" applyBorder="1" applyAlignment="1">
      <alignment horizontal="center" vertical="center"/>
    </xf>
    <xf numFmtId="175" fontId="49" fillId="2" borderId="4" xfId="1" applyNumberFormat="1" applyFont="1" applyFill="1" applyBorder="1" applyAlignment="1">
      <alignment horizontal="center"/>
    </xf>
    <xf numFmtId="175" fontId="7" fillId="5" borderId="19" xfId="0" applyNumberFormat="1" applyFont="1" applyFill="1" applyBorder="1" applyAlignment="1">
      <alignment horizontal="center" vertical="center"/>
    </xf>
    <xf numFmtId="9" fontId="7" fillId="5" borderId="19" xfId="0" applyNumberFormat="1" applyFont="1" applyFill="1" applyBorder="1" applyAlignment="1">
      <alignment horizontal="center" vertical="center"/>
    </xf>
    <xf numFmtId="170" fontId="49" fillId="10" borderId="4" xfId="0" applyNumberFormat="1" applyFont="1" applyFill="1" applyBorder="1" applyAlignment="1">
      <alignment horizontal="center" vertical="center"/>
    </xf>
    <xf numFmtId="0" fontId="49" fillId="0" borderId="4" xfId="0" applyFont="1" applyBorder="1" applyAlignment="1">
      <alignment horizontal="center" vertical="center"/>
    </xf>
    <xf numFmtId="0" fontId="2" fillId="0" borderId="4" xfId="0" applyFont="1" applyBorder="1" applyAlignment="1">
      <alignment horizontal="center"/>
    </xf>
    <xf numFmtId="0" fontId="35" fillId="0" borderId="21" xfId="0" applyFont="1" applyBorder="1" applyAlignment="1">
      <alignment horizontal="left" vertical="center" wrapText="1"/>
    </xf>
    <xf numFmtId="9" fontId="49" fillId="10" borderId="22" xfId="2" applyNumberFormat="1" applyFont="1" applyFill="1" applyBorder="1" applyAlignment="1">
      <alignment horizontal="center" vertical="center"/>
    </xf>
    <xf numFmtId="0" fontId="2" fillId="0" borderId="22" xfId="0" applyFont="1" applyBorder="1" applyAlignment="1">
      <alignment horizontal="center"/>
    </xf>
    <xf numFmtId="0" fontId="2" fillId="0" borderId="22" xfId="0" applyFont="1" applyBorder="1"/>
    <xf numFmtId="3" fontId="7" fillId="0" borderId="23" xfId="0" applyNumberFormat="1" applyFont="1" applyBorder="1" applyAlignment="1">
      <alignment horizontal="center"/>
    </xf>
    <xf numFmtId="0" fontId="35" fillId="0" borderId="18" xfId="0" applyFont="1" applyBorder="1" applyAlignment="1">
      <alignment horizontal="right" vertical="center"/>
    </xf>
    <xf numFmtId="0" fontId="49" fillId="0" borderId="18" xfId="0" applyFont="1" applyBorder="1" applyAlignment="1">
      <alignment horizontal="right" vertical="center"/>
    </xf>
    <xf numFmtId="0" fontId="35" fillId="0" borderId="18" xfId="0" applyFont="1" applyBorder="1" applyAlignment="1">
      <alignment horizontal="right" vertical="center" wrapText="1"/>
    </xf>
    <xf numFmtId="0" fontId="49" fillId="0" borderId="18" xfId="0" applyFont="1" applyBorder="1" applyAlignment="1">
      <alignment vertical="center"/>
    </xf>
    <xf numFmtId="0" fontId="35" fillId="0" borderId="18" xfId="0" applyFont="1" applyBorder="1" applyAlignment="1">
      <alignment horizontal="right" wrapText="1"/>
    </xf>
    <xf numFmtId="0" fontId="58" fillId="0" borderId="18" xfId="0" applyFont="1" applyBorder="1" applyAlignment="1">
      <alignment horizontal="right" vertical="center" wrapText="1"/>
    </xf>
    <xf numFmtId="0" fontId="2" fillId="0" borderId="18" xfId="0" applyFont="1" applyBorder="1" applyAlignment="1">
      <alignment vertical="center"/>
    </xf>
    <xf numFmtId="0" fontId="49" fillId="0" borderId="18" xfId="0" applyFont="1" applyBorder="1" applyAlignment="1">
      <alignment horizontal="center" vertical="center"/>
    </xf>
    <xf numFmtId="0" fontId="2" fillId="0" borderId="18" xfId="0" applyFont="1" applyBorder="1" applyAlignment="1">
      <alignment horizontal="right" vertical="center"/>
    </xf>
    <xf numFmtId="0" fontId="7" fillId="0" borderId="18" xfId="0" applyFont="1" applyBorder="1" applyAlignment="1">
      <alignment wrapText="1"/>
    </xf>
    <xf numFmtId="0" fontId="7" fillId="0" borderId="18" xfId="0" applyFont="1" applyBorder="1" applyAlignment="1"/>
    <xf numFmtId="3" fontId="49" fillId="0" borderId="18" xfId="0" applyNumberFormat="1" applyFont="1" applyBorder="1" applyAlignment="1">
      <alignment horizontal="right" vertical="center"/>
    </xf>
    <xf numFmtId="0" fontId="49" fillId="0" borderId="18" xfId="0" applyFont="1" applyBorder="1" applyAlignment="1">
      <alignment horizontal="right" vertical="center" wrapText="1"/>
    </xf>
    <xf numFmtId="0" fontId="49" fillId="0" borderId="21" xfId="0" applyFont="1" applyBorder="1" applyAlignment="1">
      <alignment horizontal="right" vertical="center"/>
    </xf>
    <xf numFmtId="0" fontId="49" fillId="5" borderId="18" xfId="0" applyFont="1" applyFill="1" applyBorder="1" applyAlignment="1">
      <alignment horizontal="right" vertical="center"/>
    </xf>
    <xf numFmtId="0" fontId="7" fillId="0" borderId="4" xfId="0" applyFont="1" applyBorder="1" applyAlignment="1">
      <alignment horizontal="center"/>
    </xf>
    <xf numFmtId="0" fontId="7" fillId="8" borderId="15" xfId="0" applyFont="1" applyFill="1" applyBorder="1" applyAlignment="1">
      <alignment horizontal="center" vertical="center"/>
    </xf>
    <xf numFmtId="3" fontId="25" fillId="0" borderId="24" xfId="0" applyNumberFormat="1" applyFont="1" applyBorder="1" applyAlignment="1">
      <alignment horizontal="center" vertical="center"/>
    </xf>
    <xf numFmtId="3" fontId="25" fillId="3" borderId="25" xfId="0" applyNumberFormat="1" applyFont="1" applyFill="1" applyBorder="1" applyAlignment="1">
      <alignment horizontal="center" vertical="center"/>
    </xf>
    <xf numFmtId="3" fontId="25" fillId="0" borderId="22" xfId="0" applyNumberFormat="1" applyFont="1" applyBorder="1" applyAlignment="1">
      <alignment horizontal="center" vertical="center" wrapText="1"/>
    </xf>
    <xf numFmtId="0" fontId="25" fillId="0" borderId="22" xfId="0" applyFont="1" applyBorder="1" applyAlignment="1">
      <alignment horizontal="center" vertical="center" wrapText="1"/>
    </xf>
    <xf numFmtId="3" fontId="25" fillId="0" borderId="23" xfId="0" applyNumberFormat="1" applyFont="1" applyBorder="1" applyAlignment="1">
      <alignment horizontal="center" vertical="center" wrapText="1"/>
    </xf>
    <xf numFmtId="3" fontId="25" fillId="0" borderId="38" xfId="0" applyNumberFormat="1" applyFont="1" applyBorder="1" applyAlignment="1">
      <alignment horizontal="center" vertical="center"/>
    </xf>
    <xf numFmtId="3" fontId="25" fillId="0" borderId="10" xfId="0" applyNumberFormat="1" applyFont="1" applyBorder="1" applyAlignment="1">
      <alignment horizontal="center" vertical="center"/>
    </xf>
    <xf numFmtId="3" fontId="25" fillId="0" borderId="51" xfId="0" applyNumberFormat="1" applyFont="1" applyBorder="1" applyAlignment="1">
      <alignment horizontal="center" vertical="center"/>
    </xf>
    <xf numFmtId="1" fontId="25" fillId="0" borderId="21" xfId="0" applyNumberFormat="1" applyFont="1" applyBorder="1" applyAlignment="1">
      <alignment horizontal="center" vertical="center" wrapText="1"/>
    </xf>
    <xf numFmtId="1" fontId="25" fillId="0" borderId="23" xfId="0" applyNumberFormat="1" applyFont="1" applyBorder="1" applyAlignment="1">
      <alignment horizontal="center" vertical="center"/>
    </xf>
    <xf numFmtId="3" fontId="7" fillId="2" borderId="20" xfId="0" applyNumberFormat="1" applyFont="1" applyFill="1" applyBorder="1" applyAlignment="1">
      <alignment horizontal="center" vertical="center"/>
    </xf>
    <xf numFmtId="3" fontId="25" fillId="0" borderId="25" xfId="0" applyNumberFormat="1" applyFont="1" applyBorder="1" applyAlignment="1">
      <alignment horizontal="center" vertical="center"/>
    </xf>
    <xf numFmtId="3" fontId="25" fillId="3" borderId="60" xfId="0" applyNumberFormat="1" applyFont="1" applyFill="1" applyBorder="1" applyAlignment="1">
      <alignment horizontal="center" vertical="center"/>
    </xf>
    <xf numFmtId="3" fontId="25" fillId="0" borderId="20" xfId="0" applyNumberFormat="1" applyFont="1" applyBorder="1" applyAlignment="1">
      <alignment horizontal="center" vertical="center"/>
    </xf>
    <xf numFmtId="0" fontId="25" fillId="0" borderId="51" xfId="0" applyFont="1" applyBorder="1" applyAlignment="1">
      <alignment horizontal="center" vertical="center" wrapText="1"/>
    </xf>
    <xf numFmtId="0" fontId="7" fillId="0" borderId="32" xfId="0" applyFont="1" applyBorder="1" applyAlignment="1">
      <alignment horizontal="center" vertical="center"/>
    </xf>
    <xf numFmtId="0" fontId="25" fillId="0" borderId="46" xfId="0" applyFont="1" applyBorder="1" applyAlignment="1">
      <alignment vertical="center"/>
    </xf>
    <xf numFmtId="3" fontId="7" fillId="0" borderId="45" xfId="0" applyNumberFormat="1" applyFont="1" applyBorder="1" applyAlignment="1">
      <alignment horizontal="center"/>
    </xf>
    <xf numFmtId="2" fontId="7" fillId="0" borderId="42" xfId="0" applyNumberFormat="1" applyFont="1" applyBorder="1" applyAlignment="1">
      <alignment horizontal="center"/>
    </xf>
    <xf numFmtId="3" fontId="25" fillId="0" borderId="45" xfId="0" applyNumberFormat="1" applyFont="1" applyBorder="1" applyAlignment="1">
      <alignment horizontal="center"/>
    </xf>
    <xf numFmtId="3" fontId="25" fillId="0" borderId="20" xfId="0" applyNumberFormat="1" applyFont="1" applyBorder="1" applyAlignment="1">
      <alignment horizontal="center"/>
    </xf>
    <xf numFmtId="3" fontId="25" fillId="0" borderId="24" xfId="0" applyNumberFormat="1" applyFont="1" applyBorder="1" applyAlignment="1">
      <alignment horizontal="center"/>
    </xf>
    <xf numFmtId="3" fontId="25" fillId="0" borderId="26" xfId="0" applyNumberFormat="1" applyFont="1" applyBorder="1" applyAlignment="1">
      <alignment horizontal="center"/>
    </xf>
    <xf numFmtId="3" fontId="25" fillId="0" borderId="27" xfId="0" applyNumberFormat="1" applyFont="1" applyBorder="1" applyAlignment="1">
      <alignment horizontal="center"/>
    </xf>
    <xf numFmtId="3" fontId="25" fillId="0" borderId="28" xfId="0" applyNumberFormat="1" applyFont="1" applyBorder="1" applyAlignment="1">
      <alignment horizontal="center"/>
    </xf>
    <xf numFmtId="0" fontId="25" fillId="0" borderId="46" xfId="0" applyFont="1" applyBorder="1" applyAlignment="1"/>
    <xf numFmtId="3" fontId="7" fillId="0" borderId="46" xfId="0" applyNumberFormat="1" applyFont="1" applyBorder="1" applyAlignment="1">
      <alignment horizontal="center"/>
    </xf>
    <xf numFmtId="2" fontId="7" fillId="0" borderId="44" xfId="0" applyNumberFormat="1" applyFont="1" applyBorder="1" applyAlignment="1">
      <alignment horizontal="center"/>
    </xf>
    <xf numFmtId="3" fontId="25" fillId="0" borderId="46" xfId="0" applyNumberFormat="1" applyFont="1" applyBorder="1" applyAlignment="1">
      <alignment horizontal="center"/>
    </xf>
    <xf numFmtId="3" fontId="7" fillId="0" borderId="46" xfId="0" applyNumberFormat="1" applyFont="1" applyBorder="1" applyAlignment="1">
      <alignment horizontal="center" vertical="center"/>
    </xf>
    <xf numFmtId="2" fontId="7" fillId="0" borderId="44" xfId="0" applyNumberFormat="1" applyFont="1" applyBorder="1" applyAlignment="1">
      <alignment horizontal="center" vertical="center"/>
    </xf>
    <xf numFmtId="3" fontId="25" fillId="0" borderId="46" xfId="0" applyNumberFormat="1" applyFont="1" applyBorder="1" applyAlignment="1">
      <alignment horizontal="center" vertical="center"/>
    </xf>
    <xf numFmtId="0" fontId="49" fillId="0" borderId="46" xfId="0" applyFont="1" applyBorder="1" applyAlignment="1">
      <alignment horizontal="left" vertical="center"/>
    </xf>
    <xf numFmtId="0" fontId="25" fillId="0" borderId="46" xfId="0" applyFont="1" applyBorder="1" applyAlignment="1">
      <alignment horizontal="left" vertical="center"/>
    </xf>
    <xf numFmtId="0" fontId="7" fillId="0" borderId="34" xfId="0" applyFont="1" applyBorder="1" applyAlignment="1">
      <alignment horizontal="left" vertical="center"/>
    </xf>
    <xf numFmtId="3" fontId="59" fillId="0" borderId="34" xfId="0" applyNumberFormat="1" applyFont="1" applyBorder="1" applyAlignment="1">
      <alignment horizontal="center" vertical="center"/>
    </xf>
    <xf numFmtId="3" fontId="7" fillId="0" borderId="35" xfId="0" applyNumberFormat="1" applyFont="1" applyBorder="1" applyAlignment="1">
      <alignment horizontal="center" vertical="center"/>
    </xf>
    <xf numFmtId="3" fontId="59" fillId="0" borderId="23" xfId="0" applyNumberFormat="1" applyFont="1" applyBorder="1" applyAlignment="1">
      <alignment horizontal="center" vertical="center"/>
    </xf>
    <xf numFmtId="3" fontId="25" fillId="0" borderId="54" xfId="0" applyNumberFormat="1" applyFont="1" applyBorder="1" applyAlignment="1">
      <alignment horizontal="center" vertical="center"/>
    </xf>
    <xf numFmtId="3" fontId="25" fillId="0" borderId="50" xfId="0" applyNumberFormat="1" applyFont="1" applyBorder="1" applyAlignment="1">
      <alignment horizontal="center" vertical="center"/>
    </xf>
    <xf numFmtId="3" fontId="59" fillId="0" borderId="35" xfId="0" applyNumberFormat="1" applyFont="1" applyBorder="1" applyAlignment="1">
      <alignment horizontal="center" vertical="center"/>
    </xf>
    <xf numFmtId="3" fontId="59" fillId="0" borderId="52" xfId="0" applyNumberFormat="1" applyFont="1" applyBorder="1" applyAlignment="1">
      <alignment horizontal="center" vertical="center"/>
    </xf>
    <xf numFmtId="0" fontId="7" fillId="0" borderId="0" xfId="0" applyFont="1" applyAlignment="1">
      <alignment horizontal="center"/>
    </xf>
    <xf numFmtId="0" fontId="25" fillId="0" borderId="0" xfId="0" applyFont="1" applyAlignment="1">
      <alignment horizontal="center"/>
    </xf>
    <xf numFmtId="0" fontId="44" fillId="0" borderId="32" xfId="0" applyFont="1" applyBorder="1" applyAlignment="1">
      <alignment horizontal="center" vertical="center" wrapText="1"/>
    </xf>
    <xf numFmtId="3" fontId="44" fillId="0" borderId="32" xfId="0" applyNumberFormat="1" applyFont="1" applyBorder="1" applyAlignment="1">
      <alignment horizontal="center" vertical="center" wrapText="1"/>
    </xf>
    <xf numFmtId="0" fontId="25" fillId="0" borderId="32" xfId="0" applyFont="1" applyBorder="1" applyAlignment="1">
      <alignment horizontal="center" wrapText="1"/>
    </xf>
    <xf numFmtId="3" fontId="7" fillId="0" borderId="6" xfId="0" applyNumberFormat="1" applyFont="1" applyBorder="1" applyAlignment="1">
      <alignment horizontal="center" vertical="center"/>
    </xf>
    <xf numFmtId="4" fontId="25" fillId="0" borderId="12" xfId="0" applyNumberFormat="1" applyFont="1" applyBorder="1" applyAlignment="1">
      <alignment horizontal="center" vertical="center" wrapText="1"/>
    </xf>
    <xf numFmtId="9" fontId="2" fillId="0" borderId="45" xfId="0" applyNumberFormat="1" applyFont="1" applyBorder="1" applyAlignment="1">
      <alignment horizontal="center"/>
    </xf>
    <xf numFmtId="3" fontId="42" fillId="0" borderId="42" xfId="0" applyNumberFormat="1" applyFont="1" applyBorder="1" applyAlignment="1">
      <alignment horizontal="center"/>
    </xf>
    <xf numFmtId="0" fontId="42" fillId="0" borderId="45" xfId="0" applyFont="1" applyBorder="1" applyAlignment="1">
      <alignment horizontal="center"/>
    </xf>
    <xf numFmtId="3" fontId="42" fillId="0" borderId="45" xfId="0" applyNumberFormat="1" applyFont="1" applyBorder="1" applyAlignment="1">
      <alignment horizontal="center"/>
    </xf>
    <xf numFmtId="9" fontId="2" fillId="0" borderId="46" xfId="0" applyNumberFormat="1" applyFont="1" applyBorder="1" applyAlignment="1">
      <alignment horizontal="center"/>
    </xf>
    <xf numFmtId="3" fontId="2" fillId="0" borderId="44" xfId="0" applyNumberFormat="1" applyFont="1" applyBorder="1" applyAlignment="1">
      <alignment horizontal="center"/>
    </xf>
    <xf numFmtId="2" fontId="42" fillId="0" borderId="46" xfId="0" applyNumberFormat="1" applyFont="1" applyBorder="1" applyAlignment="1">
      <alignment horizontal="center"/>
    </xf>
    <xf numFmtId="3" fontId="42" fillId="0" borderId="46" xfId="0" applyNumberFormat="1" applyFont="1" applyBorder="1" applyAlignment="1">
      <alignment horizontal="center"/>
    </xf>
    <xf numFmtId="0" fontId="42" fillId="0" borderId="34" xfId="0" applyFont="1" applyBorder="1" applyAlignment="1">
      <alignment horizontal="left" vertical="center"/>
    </xf>
    <xf numFmtId="9" fontId="7" fillId="0" borderId="34" xfId="0" applyNumberFormat="1" applyFont="1" applyBorder="1" applyAlignment="1">
      <alignment horizontal="center" vertical="center"/>
    </xf>
    <xf numFmtId="0" fontId="42" fillId="0" borderId="34" xfId="0" applyFont="1" applyBorder="1" applyAlignment="1">
      <alignment horizontal="center"/>
    </xf>
    <xf numFmtId="3" fontId="25" fillId="0" borderId="34" xfId="0" applyNumberFormat="1" applyFont="1" applyBorder="1" applyAlignment="1">
      <alignment horizontal="center"/>
    </xf>
    <xf numFmtId="0" fontId="35" fillId="0" borderId="45" xfId="0" applyFont="1" applyBorder="1" applyAlignment="1">
      <alignment horizontal="left" vertical="center"/>
    </xf>
    <xf numFmtId="9" fontId="43" fillId="0" borderId="45" xfId="0" applyNumberFormat="1" applyFont="1" applyBorder="1" applyAlignment="1">
      <alignment horizontal="center" vertical="center"/>
    </xf>
    <xf numFmtId="3" fontId="35" fillId="0" borderId="42" xfId="0" applyNumberFormat="1" applyFont="1" applyBorder="1" applyAlignment="1">
      <alignment horizontal="center" vertical="center"/>
    </xf>
    <xf numFmtId="167" fontId="35" fillId="0" borderId="34" xfId="0" applyNumberFormat="1" applyFont="1" applyBorder="1" applyAlignment="1">
      <alignment vertical="center"/>
    </xf>
    <xf numFmtId="9" fontId="49" fillId="0" borderId="34" xfId="0" applyNumberFormat="1" applyFont="1" applyBorder="1" applyAlignment="1">
      <alignment horizontal="center" vertical="center"/>
    </xf>
    <xf numFmtId="3" fontId="44" fillId="0" borderId="35" xfId="0" applyNumberFormat="1" applyFont="1" applyBorder="1" applyAlignment="1">
      <alignment horizontal="center" vertical="center"/>
    </xf>
    <xf numFmtId="0" fontId="42" fillId="0" borderId="34" xfId="0" applyFont="1" applyBorder="1" applyAlignment="1">
      <alignment horizontal="center" vertical="center"/>
    </xf>
    <xf numFmtId="3" fontId="25" fillId="0" borderId="34" xfId="0" applyNumberFormat="1" applyFont="1" applyBorder="1" applyAlignment="1">
      <alignment horizontal="center" vertical="center"/>
    </xf>
    <xf numFmtId="0" fontId="35" fillId="0" borderId="45" xfId="0" applyFont="1" applyBorder="1" applyAlignment="1">
      <alignment horizontal="left" vertical="center" wrapText="1"/>
    </xf>
    <xf numFmtId="9" fontId="43" fillId="0" borderId="34" xfId="0" applyNumberFormat="1" applyFont="1" applyBorder="1" applyAlignment="1">
      <alignment horizontal="center" vertical="center"/>
    </xf>
    <xf numFmtId="9" fontId="35" fillId="0" borderId="45" xfId="0" applyNumberFormat="1" applyFont="1" applyBorder="1" applyAlignment="1">
      <alignment horizontal="center" vertical="center"/>
    </xf>
    <xf numFmtId="3" fontId="43" fillId="0" borderId="42" xfId="0" applyNumberFormat="1" applyFont="1" applyBorder="1" applyAlignment="1">
      <alignment horizontal="center" vertical="center"/>
    </xf>
    <xf numFmtId="2" fontId="42" fillId="0" borderId="45" xfId="0" applyNumberFormat="1" applyFont="1" applyBorder="1" applyAlignment="1">
      <alignment horizontal="center" vertical="center"/>
    </xf>
    <xf numFmtId="3" fontId="42" fillId="0" borderId="45" xfId="0" applyNumberFormat="1" applyFont="1" applyBorder="1" applyAlignment="1">
      <alignment horizontal="center" vertical="center"/>
    </xf>
    <xf numFmtId="2" fontId="42" fillId="0" borderId="46" xfId="0" applyNumberFormat="1" applyFont="1" applyBorder="1" applyAlignment="1">
      <alignment horizontal="center" vertical="center"/>
    </xf>
    <xf numFmtId="3" fontId="42" fillId="0" borderId="46" xfId="0" applyNumberFormat="1" applyFont="1" applyBorder="1" applyAlignment="1">
      <alignment horizontal="center" vertical="center"/>
    </xf>
    <xf numFmtId="0" fontId="42" fillId="0" borderId="34" xfId="0" applyFont="1" applyBorder="1" applyAlignment="1">
      <alignment vertical="center"/>
    </xf>
    <xf numFmtId="2" fontId="42" fillId="0" borderId="32" xfId="0" applyNumberFormat="1" applyFont="1" applyBorder="1" applyAlignment="1">
      <alignment horizontal="center"/>
    </xf>
    <xf numFmtId="3" fontId="25" fillId="0" borderId="32" xfId="0" applyNumberFormat="1" applyFont="1" applyBorder="1" applyAlignment="1">
      <alignment horizontal="center"/>
    </xf>
    <xf numFmtId="0" fontId="42" fillId="0" borderId="15" xfId="0" applyFont="1" applyBorder="1" applyAlignment="1">
      <alignment vertical="center" wrapText="1"/>
    </xf>
    <xf numFmtId="9" fontId="7" fillId="0" borderId="15" xfId="0" applyNumberFormat="1" applyFont="1" applyBorder="1" applyAlignment="1">
      <alignment horizontal="center"/>
    </xf>
    <xf numFmtId="3" fontId="7" fillId="0" borderId="1" xfId="0" applyNumberFormat="1" applyFont="1" applyBorder="1" applyAlignment="1">
      <alignment horizontal="center"/>
    </xf>
    <xf numFmtId="2" fontId="42" fillId="0" borderId="15" xfId="0" applyNumberFormat="1" applyFont="1" applyBorder="1" applyAlignment="1">
      <alignment horizontal="center"/>
    </xf>
    <xf numFmtId="3" fontId="25" fillId="0" borderId="15" xfId="0" applyNumberFormat="1" applyFont="1" applyBorder="1" applyAlignment="1">
      <alignment horizontal="center"/>
    </xf>
    <xf numFmtId="0" fontId="2" fillId="0" borderId="66" xfId="0" applyFont="1" applyBorder="1" applyAlignment="1">
      <alignment vertical="center"/>
    </xf>
    <xf numFmtId="0" fontId="2" fillId="0" borderId="66" xfId="0" applyFont="1" applyBorder="1" applyAlignment="1">
      <alignment horizontal="center" vertical="center"/>
    </xf>
    <xf numFmtId="3" fontId="59" fillId="0" borderId="67" xfId="0" applyNumberFormat="1" applyFont="1" applyBorder="1" applyAlignment="1">
      <alignment horizontal="center" vertical="center"/>
    </xf>
    <xf numFmtId="0" fontId="42" fillId="0" borderId="32" xfId="0" applyFont="1" applyBorder="1" applyAlignment="1">
      <alignment horizontal="center" vertical="center"/>
    </xf>
    <xf numFmtId="3" fontId="59" fillId="0" borderId="32" xfId="0" applyNumberFormat="1" applyFont="1" applyBorder="1" applyAlignment="1">
      <alignment horizontal="center" vertical="center"/>
    </xf>
    <xf numFmtId="3" fontId="25" fillId="0" borderId="32" xfId="0" applyNumberFormat="1" applyFont="1" applyBorder="1" applyAlignment="1">
      <alignment horizontal="center" vertical="center" wrapText="1"/>
    </xf>
    <xf numFmtId="0" fontId="25" fillId="0" borderId="45" xfId="0" applyFont="1" applyBorder="1" applyAlignment="1">
      <alignment horizontal="center"/>
    </xf>
    <xf numFmtId="0" fontId="49" fillId="0" borderId="60" xfId="0" applyFont="1" applyBorder="1" applyAlignment="1">
      <alignment horizontal="left" vertical="center" wrapText="1"/>
    </xf>
    <xf numFmtId="9" fontId="7" fillId="0" borderId="60" xfId="0" applyNumberFormat="1" applyFont="1" applyBorder="1" applyAlignment="1">
      <alignment horizontal="center"/>
    </xf>
    <xf numFmtId="0" fontId="7" fillId="0" borderId="60" xfId="0" applyFont="1" applyBorder="1" applyAlignment="1">
      <alignment horizontal="center"/>
    </xf>
    <xf numFmtId="0" fontId="25" fillId="0" borderId="60" xfId="0" applyFont="1" applyBorder="1" applyAlignment="1">
      <alignment horizontal="center"/>
    </xf>
    <xf numFmtId="0" fontId="25" fillId="0" borderId="60" xfId="0" applyFont="1" applyBorder="1" applyAlignment="1">
      <alignment horizontal="center" wrapText="1"/>
    </xf>
    <xf numFmtId="0" fontId="25" fillId="0" borderId="46" xfId="0" applyFont="1" applyBorder="1" applyAlignment="1">
      <alignment horizontal="center"/>
    </xf>
    <xf numFmtId="0" fontId="7" fillId="0" borderId="46" xfId="0" applyFont="1" applyBorder="1" applyAlignment="1">
      <alignment horizontal="center"/>
    </xf>
    <xf numFmtId="2" fontId="25" fillId="0" borderId="46" xfId="0" applyNumberFormat="1" applyFont="1" applyBorder="1" applyAlignment="1">
      <alignment horizontal="center"/>
    </xf>
    <xf numFmtId="167" fontId="49" fillId="0" borderId="34" xfId="0" applyNumberFormat="1" applyFont="1" applyBorder="1" applyAlignment="1">
      <alignment vertical="center"/>
    </xf>
    <xf numFmtId="0" fontId="49" fillId="0" borderId="45" xfId="0" applyFont="1" applyBorder="1" applyAlignment="1">
      <alignment horizontal="left" vertical="center" wrapText="1"/>
    </xf>
    <xf numFmtId="167" fontId="49" fillId="0" borderId="64" xfId="0" applyNumberFormat="1" applyFont="1" applyBorder="1" applyAlignment="1">
      <alignment vertical="center"/>
    </xf>
    <xf numFmtId="9" fontId="7" fillId="0" borderId="64" xfId="0" applyNumberFormat="1" applyFont="1" applyBorder="1" applyAlignment="1">
      <alignment horizontal="center"/>
    </xf>
    <xf numFmtId="3" fontId="7" fillId="0" borderId="64" xfId="0" applyNumberFormat="1" applyFont="1" applyBorder="1" applyAlignment="1">
      <alignment horizontal="center"/>
    </xf>
    <xf numFmtId="0" fontId="25" fillId="0" borderId="64" xfId="0" applyFont="1" applyBorder="1" applyAlignment="1">
      <alignment horizontal="center"/>
    </xf>
    <xf numFmtId="3" fontId="25" fillId="0" borderId="64" xfId="0" applyNumberFormat="1" applyFont="1" applyBorder="1" applyAlignment="1">
      <alignment horizontal="center"/>
    </xf>
    <xf numFmtId="1" fontId="25" fillId="0" borderId="64" xfId="0" applyNumberFormat="1" applyFont="1" applyBorder="1" applyAlignment="1">
      <alignment horizontal="center"/>
    </xf>
    <xf numFmtId="0" fontId="7" fillId="0" borderId="34" xfId="0" applyFont="1" applyBorder="1" applyAlignment="1">
      <alignment vertical="center"/>
    </xf>
    <xf numFmtId="0" fontId="7" fillId="0" borderId="34" xfId="0" applyFont="1" applyBorder="1" applyAlignment="1">
      <alignment horizontal="center" vertical="center"/>
    </xf>
    <xf numFmtId="3" fontId="7" fillId="0" borderId="34" xfId="0" applyNumberFormat="1" applyFont="1" applyBorder="1" applyAlignment="1">
      <alignment horizontal="center" vertical="center"/>
    </xf>
    <xf numFmtId="0" fontId="25" fillId="0" borderId="34" xfId="0" applyFont="1" applyBorder="1" applyAlignment="1">
      <alignment horizontal="center" vertical="center"/>
    </xf>
    <xf numFmtId="3" fontId="7" fillId="0" borderId="34" xfId="0" applyNumberFormat="1" applyFont="1" applyBorder="1" applyAlignment="1">
      <alignment horizontal="center"/>
    </xf>
    <xf numFmtId="0" fontId="7" fillId="12" borderId="26" xfId="0" applyFont="1" applyFill="1" applyBorder="1" applyAlignment="1">
      <alignment horizontal="center" vertical="center"/>
    </xf>
    <xf numFmtId="0" fontId="7" fillId="12" borderId="27" xfId="0" applyFont="1" applyFill="1" applyBorder="1" applyAlignment="1">
      <alignment horizontal="center" vertical="center"/>
    </xf>
    <xf numFmtId="0" fontId="7" fillId="12" borderId="27" xfId="0" applyFont="1" applyFill="1" applyBorder="1" applyAlignment="1">
      <alignment horizontal="center" vertical="center" wrapText="1"/>
    </xf>
    <xf numFmtId="0" fontId="7" fillId="12" borderId="28" xfId="0" applyFont="1" applyFill="1" applyBorder="1" applyAlignment="1">
      <alignment horizontal="center" vertical="center" wrapText="1"/>
    </xf>
    <xf numFmtId="3" fontId="7" fillId="3" borderId="19" xfId="0" applyNumberFormat="1" applyFont="1" applyFill="1" applyBorder="1" applyAlignment="1">
      <alignment horizontal="center" vertical="center"/>
    </xf>
    <xf numFmtId="0" fontId="7" fillId="0" borderId="21" xfId="0" applyFont="1" applyBorder="1" applyAlignment="1">
      <alignment horizontal="center"/>
    </xf>
    <xf numFmtId="3" fontId="7" fillId="0" borderId="22" xfId="0" applyNumberFormat="1" applyFont="1" applyBorder="1" applyAlignment="1">
      <alignment horizontal="center"/>
    </xf>
    <xf numFmtId="3" fontId="7" fillId="3" borderId="23" xfId="0" applyNumberFormat="1" applyFont="1" applyFill="1" applyBorder="1" applyAlignment="1">
      <alignment horizontal="center" vertical="center"/>
    </xf>
    <xf numFmtId="3" fontId="7" fillId="0" borderId="24" xfId="0" applyNumberFormat="1" applyFont="1" applyBorder="1" applyAlignment="1">
      <alignment horizontal="center"/>
    </xf>
    <xf numFmtId="3" fontId="7" fillId="0" borderId="4" xfId="0" applyNumberFormat="1" applyFont="1" applyBorder="1" applyAlignment="1">
      <alignment horizontal="center" vertical="center" wrapText="1"/>
    </xf>
    <xf numFmtId="0" fontId="7" fillId="0" borderId="44" xfId="0" applyFont="1" applyBorder="1" applyAlignment="1">
      <alignment horizontal="center"/>
    </xf>
    <xf numFmtId="3" fontId="7" fillId="0" borderId="35" xfId="0" applyNumberFormat="1" applyFont="1" applyBorder="1" applyAlignment="1">
      <alignment horizontal="center"/>
    </xf>
    <xf numFmtId="3" fontId="7" fillId="0" borderId="74" xfId="0" applyNumberFormat="1" applyFont="1" applyBorder="1" applyAlignment="1">
      <alignment horizontal="center"/>
    </xf>
    <xf numFmtId="3" fontId="7" fillId="0" borderId="18" xfId="0" applyNumberFormat="1" applyFont="1" applyBorder="1" applyAlignment="1">
      <alignment horizontal="center"/>
    </xf>
    <xf numFmtId="3" fontId="7" fillId="0" borderId="21" xfId="0" applyNumberFormat="1" applyFont="1" applyBorder="1" applyAlignment="1">
      <alignment horizontal="center"/>
    </xf>
    <xf numFmtId="3" fontId="7" fillId="3" borderId="71" xfId="0" applyNumberFormat="1" applyFont="1" applyFill="1" applyBorder="1" applyAlignment="1">
      <alignment horizontal="center" vertical="center"/>
    </xf>
    <xf numFmtId="3" fontId="7" fillId="3" borderId="36" xfId="0" applyNumberFormat="1" applyFont="1" applyFill="1" applyBorder="1" applyAlignment="1">
      <alignment horizontal="center" vertical="center"/>
    </xf>
    <xf numFmtId="0" fontId="7" fillId="0" borderId="53" xfId="0" applyFont="1" applyBorder="1" applyAlignment="1">
      <alignment horizontal="center"/>
    </xf>
    <xf numFmtId="3" fontId="7" fillId="0" borderId="53" xfId="0" applyNumberFormat="1" applyFont="1" applyBorder="1" applyAlignment="1">
      <alignment horizontal="center"/>
    </xf>
    <xf numFmtId="3" fontId="7" fillId="0" borderId="60" xfId="0" applyNumberFormat="1" applyFont="1" applyBorder="1" applyAlignment="1">
      <alignment horizontal="center"/>
    </xf>
    <xf numFmtId="3" fontId="7" fillId="0" borderId="20" xfId="0" applyNumberFormat="1" applyFont="1" applyBorder="1" applyAlignment="1">
      <alignment horizontal="center"/>
    </xf>
    <xf numFmtId="3" fontId="7" fillId="0" borderId="25" xfId="0" applyNumberFormat="1" applyFont="1" applyBorder="1" applyAlignment="1">
      <alignment horizontal="center"/>
    </xf>
    <xf numFmtId="3" fontId="7" fillId="0" borderId="25" xfId="0" applyNumberFormat="1" applyFont="1" applyBorder="1" applyAlignment="1">
      <alignment horizontal="center" vertical="center"/>
    </xf>
    <xf numFmtId="3" fontId="7" fillId="3" borderId="63" xfId="0" applyNumberFormat="1" applyFont="1" applyFill="1" applyBorder="1" applyAlignment="1">
      <alignment horizontal="center" vertical="center"/>
    </xf>
    <xf numFmtId="3" fontId="7" fillId="0" borderId="21" xfId="0" applyNumberFormat="1" applyFont="1" applyBorder="1" applyAlignment="1">
      <alignment horizontal="center" vertical="center"/>
    </xf>
    <xf numFmtId="3" fontId="7" fillId="0" borderId="22" xfId="0" applyNumberFormat="1" applyFont="1" applyBorder="1" applyAlignment="1">
      <alignment horizontal="center" vertical="center" wrapText="1"/>
    </xf>
    <xf numFmtId="0" fontId="7" fillId="0" borderId="23" xfId="0" applyFont="1" applyBorder="1" applyAlignment="1">
      <alignment horizontal="center" vertical="center" wrapText="1"/>
    </xf>
    <xf numFmtId="3" fontId="25" fillId="3" borderId="19" xfId="0" applyNumberFormat="1" applyFont="1" applyFill="1" applyBorder="1" applyAlignment="1">
      <alignment horizontal="center" vertical="center" wrapText="1"/>
    </xf>
    <xf numFmtId="3" fontId="7" fillId="0" borderId="4" xfId="0" applyNumberFormat="1" applyFont="1" applyBorder="1"/>
    <xf numFmtId="3" fontId="25" fillId="3" borderId="19" xfId="0" applyNumberFormat="1" applyFont="1" applyFill="1" applyBorder="1" applyAlignment="1">
      <alignment horizontal="center"/>
    </xf>
    <xf numFmtId="0" fontId="7" fillId="0" borderId="22" xfId="0" applyFont="1" applyBorder="1" applyAlignment="1">
      <alignment horizontal="center"/>
    </xf>
    <xf numFmtId="3" fontId="25" fillId="3" borderId="23" xfId="0" applyNumberFormat="1" applyFont="1" applyFill="1" applyBorder="1" applyAlignment="1">
      <alignment horizontal="center"/>
    </xf>
    <xf numFmtId="3" fontId="25" fillId="3" borderId="15" xfId="0" applyNumberFormat="1" applyFont="1" applyFill="1" applyBorder="1" applyAlignment="1">
      <alignment horizontal="center"/>
    </xf>
    <xf numFmtId="3" fontId="25" fillId="8" borderId="15" xfId="0" applyNumberFormat="1" applyFont="1" applyFill="1" applyBorder="1" applyAlignment="1">
      <alignment horizontal="center"/>
    </xf>
    <xf numFmtId="9" fontId="25" fillId="3" borderId="12" xfId="0" applyNumberFormat="1" applyFont="1" applyFill="1" applyBorder="1" applyAlignment="1">
      <alignment horizontal="center"/>
    </xf>
    <xf numFmtId="176" fontId="25" fillId="8" borderId="12" xfId="0" applyNumberFormat="1" applyFont="1" applyFill="1" applyBorder="1" applyAlignment="1">
      <alignment horizontal="center"/>
    </xf>
    <xf numFmtId="3" fontId="0" fillId="0" borderId="4" xfId="0" applyNumberFormat="1" applyBorder="1" applyAlignment="1">
      <alignment horizontal="center"/>
    </xf>
    <xf numFmtId="3" fontId="47" fillId="0" borderId="4" xfId="0" applyNumberFormat="1" applyFont="1" applyBorder="1" applyAlignment="1">
      <alignment horizontal="center" vertical="center" wrapText="1"/>
    </xf>
    <xf numFmtId="0" fontId="7" fillId="0" borderId="26" xfId="0" applyFont="1" applyBorder="1" applyAlignment="1">
      <alignment horizontal="center" vertical="center" wrapText="1"/>
    </xf>
    <xf numFmtId="0" fontId="7" fillId="0" borderId="27" xfId="0" applyFont="1" applyBorder="1" applyAlignment="1">
      <alignment horizontal="center" vertical="center" wrapText="1"/>
    </xf>
    <xf numFmtId="3" fontId="7" fillId="0" borderId="27" xfId="0" applyNumberFormat="1" applyFont="1" applyBorder="1" applyAlignment="1">
      <alignment horizontal="center" vertical="center" wrapText="1"/>
    </xf>
    <xf numFmtId="0" fontId="7" fillId="3" borderId="28" xfId="0" applyFont="1" applyFill="1" applyBorder="1" applyAlignment="1">
      <alignment horizontal="center" vertical="center" wrapText="1"/>
    </xf>
    <xf numFmtId="3" fontId="0" fillId="0" borderId="18" xfId="0" applyNumberFormat="1" applyBorder="1" applyAlignment="1">
      <alignment horizontal="center"/>
    </xf>
    <xf numFmtId="3" fontId="0" fillId="3" borderId="19" xfId="0" applyNumberFormat="1" applyFill="1" applyBorder="1" applyAlignment="1">
      <alignment horizontal="center"/>
    </xf>
    <xf numFmtId="3" fontId="47" fillId="0" borderId="18" xfId="0" applyNumberFormat="1" applyFont="1" applyBorder="1" applyAlignment="1">
      <alignment horizontal="center" vertical="center" wrapText="1"/>
    </xf>
    <xf numFmtId="3" fontId="47" fillId="0" borderId="21" xfId="0" applyNumberFormat="1" applyFont="1" applyBorder="1" applyAlignment="1">
      <alignment horizontal="center" vertical="center" wrapText="1"/>
    </xf>
    <xf numFmtId="3" fontId="47" fillId="0" borderId="22" xfId="0" applyNumberFormat="1" applyFont="1" applyBorder="1" applyAlignment="1">
      <alignment horizontal="center" vertical="center" wrapText="1"/>
    </xf>
    <xf numFmtId="3" fontId="0" fillId="0" borderId="22" xfId="0" applyNumberFormat="1" applyBorder="1" applyAlignment="1">
      <alignment horizontal="center"/>
    </xf>
    <xf numFmtId="3" fontId="0" fillId="3" borderId="23" xfId="0" applyNumberFormat="1" applyFill="1" applyBorder="1" applyAlignment="1">
      <alignment horizontal="center"/>
    </xf>
    <xf numFmtId="4" fontId="7" fillId="0" borderId="4" xfId="0" applyNumberFormat="1" applyFont="1" applyBorder="1" applyAlignment="1">
      <alignment horizontal="center"/>
    </xf>
    <xf numFmtId="4" fontId="2" fillId="0" borderId="0" xfId="0" applyNumberFormat="1" applyFont="1" applyAlignment="1">
      <alignment horizontal="center"/>
    </xf>
    <xf numFmtId="3" fontId="2" fillId="0" borderId="0" xfId="0" applyNumberFormat="1" applyFont="1" applyAlignment="1">
      <alignment horizontal="center"/>
    </xf>
    <xf numFmtId="9" fontId="7" fillId="3" borderId="12" xfId="0" applyNumberFormat="1" applyFont="1" applyFill="1" applyBorder="1" applyAlignment="1">
      <alignment horizontal="center"/>
    </xf>
    <xf numFmtId="177" fontId="2" fillId="8" borderId="12" xfId="0" applyNumberFormat="1" applyFont="1" applyFill="1" applyBorder="1"/>
    <xf numFmtId="0" fontId="7" fillId="3" borderId="13" xfId="0" applyFont="1" applyFill="1" applyBorder="1" applyAlignment="1">
      <alignment horizontal="center"/>
    </xf>
    <xf numFmtId="3" fontId="7" fillId="3" borderId="19" xfId="0" applyNumberFormat="1" applyFont="1" applyFill="1" applyBorder="1" applyAlignment="1">
      <alignment horizontal="center"/>
    </xf>
    <xf numFmtId="4" fontId="7" fillId="0" borderId="22" xfId="0" applyNumberFormat="1" applyFont="1" applyBorder="1" applyAlignment="1">
      <alignment horizontal="center"/>
    </xf>
    <xf numFmtId="3" fontId="7" fillId="3" borderId="23" xfId="0" applyNumberFormat="1" applyFont="1" applyFill="1" applyBorder="1" applyAlignment="1">
      <alignment horizontal="center"/>
    </xf>
    <xf numFmtId="0" fontId="2" fillId="0" borderId="30" xfId="0" applyFont="1" applyBorder="1"/>
    <xf numFmtId="3" fontId="7" fillId="0" borderId="31" xfId="0" applyNumberFormat="1" applyFont="1" applyBorder="1" applyAlignment="1">
      <alignment horizontal="center"/>
    </xf>
    <xf numFmtId="0" fontId="35" fillId="0" borderId="26" xfId="0" applyFont="1" applyBorder="1" applyAlignment="1">
      <alignment horizontal="left" vertical="center" wrapText="1"/>
    </xf>
    <xf numFmtId="9" fontId="49" fillId="10" borderId="27" xfId="2" applyNumberFormat="1" applyFont="1" applyFill="1" applyBorder="1" applyAlignment="1">
      <alignment horizontal="center" vertical="center"/>
    </xf>
    <xf numFmtId="0" fontId="2" fillId="0" borderId="27" xfId="0" applyFont="1" applyBorder="1" applyAlignment="1">
      <alignment horizontal="center"/>
    </xf>
    <xf numFmtId="0" fontId="2" fillId="0" borderId="27" xfId="0" applyFont="1" applyBorder="1"/>
    <xf numFmtId="3" fontId="7" fillId="0" borderId="28" xfId="0" applyNumberFormat="1" applyFont="1" applyBorder="1" applyAlignment="1">
      <alignment horizontal="center"/>
    </xf>
    <xf numFmtId="169" fontId="49" fillId="0" borderId="30" xfId="1" applyNumberFormat="1" applyFont="1" applyBorder="1" applyAlignment="1">
      <alignment horizontal="center" vertical="center"/>
    </xf>
    <xf numFmtId="0" fontId="57" fillId="0" borderId="26" xfId="0" applyFont="1" applyBorder="1" applyAlignment="1">
      <alignment vertical="center" wrapText="1"/>
    </xf>
    <xf numFmtId="170" fontId="49" fillId="10" borderId="27" xfId="1" applyNumberFormat="1" applyFont="1" applyFill="1" applyBorder="1" applyAlignment="1">
      <alignment horizontal="center" vertical="center"/>
    </xf>
    <xf numFmtId="0" fontId="55" fillId="0" borderId="27" xfId="0" applyFont="1" applyBorder="1" applyAlignment="1">
      <alignment horizontal="center" vertical="center"/>
    </xf>
    <xf numFmtId="170" fontId="2" fillId="0" borderId="27" xfId="0" applyNumberFormat="1" applyFont="1" applyBorder="1"/>
    <xf numFmtId="0" fontId="35" fillId="0" borderId="21" xfId="0" applyFont="1" applyBorder="1" applyAlignment="1">
      <alignment horizontal="left" vertical="center"/>
    </xf>
    <xf numFmtId="170" fontId="49" fillId="10" borderId="22" xfId="0" applyNumberFormat="1" applyFont="1" applyFill="1" applyBorder="1" applyAlignment="1">
      <alignment horizontal="center" vertical="center"/>
    </xf>
    <xf numFmtId="0" fontId="49" fillId="0" borderId="22" xfId="0" applyFont="1" applyBorder="1" applyAlignment="1">
      <alignment horizontal="center" vertical="center"/>
    </xf>
    <xf numFmtId="0" fontId="2" fillId="0" borderId="26" xfId="0" applyFont="1" applyBorder="1" applyAlignment="1">
      <alignment vertical="center" wrapText="1"/>
    </xf>
    <xf numFmtId="3" fontId="55" fillId="2" borderId="27" xfId="0" applyNumberFormat="1" applyFont="1" applyFill="1" applyBorder="1" applyAlignment="1">
      <alignment horizontal="center" vertical="center"/>
    </xf>
    <xf numFmtId="172" fontId="49" fillId="2" borderId="27" xfId="1" applyNumberFormat="1" applyFont="1" applyFill="1" applyBorder="1" applyAlignment="1">
      <alignment horizontal="center" vertical="center"/>
    </xf>
    <xf numFmtId="3" fontId="7" fillId="5" borderId="27" xfId="0" applyNumberFormat="1" applyFont="1" applyFill="1" applyBorder="1" applyAlignment="1">
      <alignment horizontal="center" vertical="center"/>
    </xf>
    <xf numFmtId="169" fontId="49" fillId="0" borderId="22" xfId="1" applyNumberFormat="1" applyFont="1" applyBorder="1" applyAlignment="1">
      <alignment horizontal="center" vertical="center"/>
    </xf>
    <xf numFmtId="0" fontId="2" fillId="0" borderId="29" xfId="0" applyFont="1" applyBorder="1" applyAlignment="1">
      <alignment vertical="center" wrapText="1"/>
    </xf>
    <xf numFmtId="175" fontId="55" fillId="2" borderId="30" xfId="0" applyNumberFormat="1" applyFont="1" applyFill="1" applyBorder="1" applyAlignment="1">
      <alignment horizontal="center" vertical="center"/>
    </xf>
    <xf numFmtId="175" fontId="49" fillId="2" borderId="30" xfId="1" applyNumberFormat="1" applyFont="1" applyFill="1" applyBorder="1" applyAlignment="1">
      <alignment horizontal="center"/>
    </xf>
    <xf numFmtId="0" fontId="2" fillId="0" borderId="30" xfId="0" applyFont="1" applyBorder="1" applyAlignment="1">
      <alignment vertical="center"/>
    </xf>
    <xf numFmtId="170" fontId="7" fillId="5" borderId="31" xfId="0" applyNumberFormat="1" applyFont="1" applyFill="1" applyBorder="1" applyAlignment="1">
      <alignment horizontal="center" vertical="center"/>
    </xf>
    <xf numFmtId="0" fontId="17" fillId="0" borderId="6" xfId="0" applyFont="1" applyBorder="1" applyAlignment="1">
      <alignment horizontal="left" vertical="center" wrapText="1"/>
    </xf>
    <xf numFmtId="0" fontId="55" fillId="0" borderId="62" xfId="0" applyFont="1" applyBorder="1" applyAlignment="1">
      <alignment horizontal="left" vertical="center"/>
    </xf>
    <xf numFmtId="9" fontId="55" fillId="10" borderId="66" xfId="0" applyNumberFormat="1" applyFont="1" applyFill="1" applyBorder="1" applyAlignment="1">
      <alignment horizontal="center" vertical="center"/>
    </xf>
    <xf numFmtId="169" fontId="49" fillId="0" borderId="66" xfId="1" applyNumberFormat="1" applyFont="1" applyBorder="1" applyAlignment="1">
      <alignment horizontal="center" vertical="center"/>
    </xf>
    <xf numFmtId="0" fontId="2" fillId="0" borderId="66" xfId="0" applyFont="1" applyBorder="1"/>
    <xf numFmtId="3" fontId="7" fillId="0" borderId="67" xfId="0" applyNumberFormat="1" applyFont="1" applyBorder="1" applyAlignment="1">
      <alignment horizontal="center"/>
    </xf>
    <xf numFmtId="0" fontId="2" fillId="0" borderId="20" xfId="0" applyFont="1" applyBorder="1"/>
    <xf numFmtId="170" fontId="55" fillId="0" borderId="24" xfId="2" applyNumberFormat="1" applyFont="1" applyBorder="1" applyAlignment="1">
      <alignment horizontal="center" vertical="center"/>
    </xf>
    <xf numFmtId="169" fontId="56" fillId="0" borderId="24" xfId="1" applyNumberFormat="1" applyFont="1" applyBorder="1" applyAlignment="1">
      <alignment horizontal="center" vertical="center"/>
    </xf>
    <xf numFmtId="0" fontId="2" fillId="0" borderId="24" xfId="0" applyFont="1" applyBorder="1"/>
    <xf numFmtId="0" fontId="35" fillId="0" borderId="26" xfId="0" applyFont="1" applyBorder="1" applyAlignment="1">
      <alignment vertical="center"/>
    </xf>
    <xf numFmtId="170" fontId="55" fillId="0" borderId="27" xfId="2" applyNumberFormat="1" applyFont="1" applyBorder="1" applyAlignment="1">
      <alignment horizontal="center" vertical="center"/>
    </xf>
    <xf numFmtId="9" fontId="49" fillId="2" borderId="27" xfId="1" quotePrefix="1" applyNumberFormat="1" applyFont="1" applyFill="1" applyBorder="1" applyAlignment="1">
      <alignment horizontal="center" vertical="center"/>
    </xf>
    <xf numFmtId="3" fontId="7" fillId="7" borderId="27" xfId="0" quotePrefix="1" applyNumberFormat="1" applyFont="1" applyFill="1" applyBorder="1" applyAlignment="1">
      <alignment horizontal="center" vertical="center"/>
    </xf>
    <xf numFmtId="3" fontId="7" fillId="2" borderId="28" xfId="0" quotePrefix="1" applyNumberFormat="1" applyFont="1" applyFill="1" applyBorder="1" applyAlignment="1">
      <alignment horizontal="center" vertical="center"/>
    </xf>
    <xf numFmtId="170" fontId="49" fillId="10" borderId="22" xfId="2" applyNumberFormat="1" applyFont="1" applyFill="1" applyBorder="1" applyAlignment="1">
      <alignment horizontal="center" vertical="center"/>
    </xf>
    <xf numFmtId="169" fontId="49" fillId="0" borderId="22" xfId="1" applyNumberFormat="1" applyFont="1" applyFill="1" applyBorder="1" applyAlignment="1">
      <alignment horizontal="center" vertical="center"/>
    </xf>
    <xf numFmtId="0" fontId="2" fillId="0" borderId="22" xfId="0" applyFont="1" applyBorder="1" applyAlignment="1">
      <alignment vertical="center"/>
    </xf>
    <xf numFmtId="0" fontId="55" fillId="2" borderId="29" xfId="0" applyFont="1" applyFill="1" applyBorder="1" applyAlignment="1">
      <alignment vertical="center"/>
    </xf>
    <xf numFmtId="3" fontId="49" fillId="7" borderId="30" xfId="0" quotePrefix="1" applyNumberFormat="1" applyFont="1" applyFill="1" applyBorder="1" applyAlignment="1">
      <alignment horizontal="center" vertical="center"/>
    </xf>
    <xf numFmtId="2" fontId="7" fillId="0" borderId="30" xfId="0" applyNumberFormat="1" applyFont="1" applyBorder="1" applyAlignment="1"/>
    <xf numFmtId="0" fontId="7" fillId="9" borderId="62" xfId="0" applyFont="1" applyFill="1" applyBorder="1" applyAlignment="1">
      <alignment horizontal="center" vertical="center"/>
    </xf>
    <xf numFmtId="0" fontId="7" fillId="9" borderId="66" xfId="0" applyFont="1" applyFill="1" applyBorder="1" applyAlignment="1">
      <alignment horizontal="center" vertical="center" wrapText="1"/>
    </xf>
    <xf numFmtId="170" fontId="49" fillId="9" borderId="66" xfId="1" quotePrefix="1" applyNumberFormat="1" applyFont="1" applyFill="1" applyBorder="1" applyAlignment="1">
      <alignment horizontal="center" vertical="center" wrapText="1"/>
    </xf>
    <xf numFmtId="3" fontId="49" fillId="9" borderId="66" xfId="0" quotePrefix="1" applyNumberFormat="1" applyFont="1" applyFill="1" applyBorder="1" applyAlignment="1">
      <alignment horizontal="center" vertical="center" wrapText="1"/>
    </xf>
    <xf numFmtId="3" fontId="49" fillId="9" borderId="67" xfId="0" quotePrefix="1" applyNumberFormat="1" applyFont="1" applyFill="1" applyBorder="1" applyAlignment="1">
      <alignment horizontal="center" vertical="center" wrapText="1"/>
    </xf>
    <xf numFmtId="0" fontId="49" fillId="0" borderId="29" xfId="0" applyFont="1" applyBorder="1" applyAlignment="1">
      <alignment horizontal="left" vertical="center" wrapText="1"/>
    </xf>
    <xf numFmtId="9" fontId="49" fillId="5" borderId="30" xfId="2" applyNumberFormat="1" applyFont="1" applyFill="1" applyBorder="1" applyAlignment="1">
      <alignment horizontal="center" vertical="center"/>
    </xf>
    <xf numFmtId="169" fontId="56" fillId="0" borderId="30" xfId="1" applyNumberFormat="1" applyFont="1" applyBorder="1" applyAlignment="1">
      <alignment horizontal="center" vertical="center"/>
    </xf>
    <xf numFmtId="0" fontId="7" fillId="0" borderId="20" xfId="0" applyFont="1" applyBorder="1" applyAlignment="1">
      <alignment horizontal="left" vertical="center"/>
    </xf>
    <xf numFmtId="168" fontId="55" fillId="2" borderId="24" xfId="2" applyNumberFormat="1" applyFont="1" applyFill="1" applyBorder="1" applyAlignment="1">
      <alignment horizontal="center" vertical="center"/>
    </xf>
    <xf numFmtId="174" fontId="49" fillId="10" borderId="24" xfId="1" applyNumberFormat="1" applyFont="1" applyFill="1" applyBorder="1" applyAlignment="1">
      <alignment horizontal="center" vertical="center"/>
    </xf>
    <xf numFmtId="0" fontId="2" fillId="0" borderId="24" xfId="0" applyFont="1" applyBorder="1" applyAlignment="1">
      <alignment vertical="center"/>
    </xf>
    <xf numFmtId="0" fontId="7" fillId="0" borderId="26" xfId="0" applyFont="1" applyBorder="1" applyAlignment="1">
      <alignment vertical="center"/>
    </xf>
    <xf numFmtId="170" fontId="55" fillId="10" borderId="27" xfId="2" applyNumberFormat="1" applyFont="1" applyFill="1" applyBorder="1" applyAlignment="1">
      <alignment horizontal="center" vertical="center"/>
    </xf>
    <xf numFmtId="169" fontId="49" fillId="0" borderId="27" xfId="1" applyNumberFormat="1" applyFont="1" applyBorder="1" applyAlignment="1">
      <alignment horizontal="center" vertical="center"/>
    </xf>
    <xf numFmtId="0" fontId="2" fillId="0" borderId="27" xfId="0" applyFont="1" applyBorder="1" applyAlignment="1">
      <alignment vertical="center"/>
    </xf>
    <xf numFmtId="3" fontId="7" fillId="0" borderId="28" xfId="0" applyNumberFormat="1" applyFont="1" applyBorder="1" applyAlignment="1">
      <alignment horizontal="center" vertical="center"/>
    </xf>
    <xf numFmtId="0" fontId="7" fillId="0" borderId="21" xfId="0" applyFont="1" applyBorder="1" applyAlignment="1">
      <alignment vertical="center" wrapText="1"/>
    </xf>
    <xf numFmtId="170" fontId="55" fillId="10" borderId="22" xfId="2" applyNumberFormat="1" applyFont="1" applyFill="1" applyBorder="1" applyAlignment="1">
      <alignment horizontal="center" vertical="center"/>
    </xf>
    <xf numFmtId="0" fontId="7" fillId="0" borderId="29" xfId="0" applyFont="1" applyBorder="1" applyAlignment="1">
      <alignment horizontal="left"/>
    </xf>
    <xf numFmtId="9" fontId="55" fillId="6" borderId="30" xfId="2" applyNumberFormat="1" applyFont="1" applyFill="1" applyBorder="1" applyAlignment="1">
      <alignment horizontal="center" vertical="center"/>
    </xf>
    <xf numFmtId="0" fontId="49" fillId="0" borderId="26" xfId="0" applyFont="1" applyBorder="1" applyAlignment="1">
      <alignment horizontal="left" vertical="center"/>
    </xf>
    <xf numFmtId="170" fontId="55" fillId="2" borderId="27" xfId="2" applyNumberFormat="1" applyFont="1" applyFill="1" applyBorder="1" applyAlignment="1">
      <alignment horizontal="center" vertical="center"/>
    </xf>
    <xf numFmtId="0" fontId="2" fillId="0" borderId="21" xfId="0" applyFont="1" applyBorder="1" applyAlignment="1">
      <alignment vertical="top" wrapText="1"/>
    </xf>
    <xf numFmtId="0" fontId="55" fillId="2" borderId="22" xfId="0" applyFont="1" applyFill="1" applyBorder="1" applyAlignment="1">
      <alignment horizontal="center" vertical="center"/>
    </xf>
    <xf numFmtId="1" fontId="55" fillId="5" borderId="22" xfId="0" applyNumberFormat="1" applyFont="1" applyFill="1" applyBorder="1" applyAlignment="1">
      <alignment horizontal="center" vertical="center"/>
    </xf>
    <xf numFmtId="175" fontId="7" fillId="0" borderId="23" xfId="0" applyNumberFormat="1" applyFont="1" applyBorder="1" applyAlignment="1">
      <alignment horizontal="center"/>
    </xf>
    <xf numFmtId="0" fontId="7" fillId="0" borderId="18" xfId="0" applyFont="1" applyBorder="1" applyAlignment="1">
      <alignment horizontal="center" vertical="center"/>
    </xf>
    <xf numFmtId="3" fontId="25" fillId="0" borderId="4" xfId="0" applyNumberFormat="1" applyFont="1" applyBorder="1" applyAlignment="1">
      <alignment horizontal="center" vertical="center" wrapText="1"/>
    </xf>
    <xf numFmtId="0" fontId="7" fillId="3" borderId="26" xfId="0" applyFont="1" applyFill="1" applyBorder="1" applyAlignment="1">
      <alignment horizontal="center"/>
    </xf>
    <xf numFmtId="9" fontId="7" fillId="3" borderId="28" xfId="0" applyNumberFormat="1" applyFont="1" applyFill="1" applyBorder="1" applyAlignment="1">
      <alignment horizontal="center"/>
    </xf>
    <xf numFmtId="0" fontId="7" fillId="3" borderId="21" xfId="0" applyFont="1" applyFill="1" applyBorder="1" applyAlignment="1">
      <alignment horizontal="center"/>
    </xf>
    <xf numFmtId="177" fontId="7" fillId="3" borderId="23" xfId="0" applyNumberFormat="1" applyFont="1" applyFill="1" applyBorder="1" applyAlignment="1">
      <alignment horizontal="center"/>
    </xf>
    <xf numFmtId="9" fontId="7" fillId="3" borderId="28" xfId="0" applyNumberFormat="1" applyFont="1" applyFill="1" applyBorder="1" applyAlignment="1">
      <alignment horizontal="center" vertical="center"/>
    </xf>
    <xf numFmtId="0" fontId="52" fillId="3" borderId="0" xfId="0" applyFont="1" applyFill="1" applyBorder="1" applyAlignment="1">
      <alignment vertical="center" wrapText="1"/>
    </xf>
    <xf numFmtId="1" fontId="25" fillId="2" borderId="22" xfId="0" applyNumberFormat="1" applyFont="1" applyFill="1" applyBorder="1" applyAlignment="1">
      <alignment horizontal="center" vertical="center"/>
    </xf>
    <xf numFmtId="0" fontId="2" fillId="0" borderId="17" xfId="0" applyFont="1" applyBorder="1" applyAlignment="1">
      <alignment horizontal="left" vertical="center"/>
    </xf>
    <xf numFmtId="0" fontId="8" fillId="0" borderId="0" xfId="0" applyFont="1" applyBorder="1" applyAlignment="1">
      <alignment horizontal="left" vertical="center"/>
    </xf>
    <xf numFmtId="0" fontId="8" fillId="0" borderId="14" xfId="0" applyFont="1" applyBorder="1" applyAlignment="1">
      <alignment horizontal="left" vertical="center"/>
    </xf>
    <xf numFmtId="0" fontId="8" fillId="0" borderId="17" xfId="0" applyFont="1" applyBorder="1" applyAlignment="1">
      <alignment horizontal="left" vertical="center"/>
    </xf>
    <xf numFmtId="0" fontId="7" fillId="0" borderId="17" xfId="0" applyFont="1" applyBorder="1" applyAlignment="1">
      <alignment horizontal="left" vertical="center"/>
    </xf>
    <xf numFmtId="0" fontId="7" fillId="0" borderId="0" xfId="0" applyFont="1" applyBorder="1" applyAlignment="1">
      <alignment horizontal="left" vertical="center"/>
    </xf>
    <xf numFmtId="0" fontId="7" fillId="0" borderId="14" xfId="0" applyFont="1" applyBorder="1" applyAlignment="1">
      <alignment horizontal="left" vertical="center"/>
    </xf>
    <xf numFmtId="0" fontId="21" fillId="8" borderId="1" xfId="0" applyFont="1" applyFill="1" applyBorder="1" applyAlignment="1">
      <alignment horizontal="center" vertical="center" wrapText="1"/>
    </xf>
    <xf numFmtId="0" fontId="21" fillId="8" borderId="2" xfId="0" applyFont="1" applyFill="1" applyBorder="1" applyAlignment="1">
      <alignment horizontal="center" vertical="center" wrapText="1"/>
    </xf>
    <xf numFmtId="0" fontId="21" fillId="8" borderId="16" xfId="0" applyFont="1" applyFill="1" applyBorder="1" applyAlignment="1">
      <alignment horizontal="center" vertical="center" wrapText="1"/>
    </xf>
    <xf numFmtId="0" fontId="21" fillId="8" borderId="7" xfId="0" applyFont="1" applyFill="1" applyBorder="1" applyAlignment="1">
      <alignment horizontal="center" vertical="center" wrapText="1"/>
    </xf>
    <xf numFmtId="0" fontId="21" fillId="8" borderId="5" xfId="0" applyFont="1" applyFill="1" applyBorder="1" applyAlignment="1">
      <alignment horizontal="center" vertical="center" wrapText="1"/>
    </xf>
    <xf numFmtId="0" fontId="21" fillId="8" borderId="11" xfId="0" applyFont="1" applyFill="1" applyBorder="1" applyAlignment="1">
      <alignment horizontal="center" vertical="center" wrapText="1"/>
    </xf>
    <xf numFmtId="0" fontId="2" fillId="0" borderId="17" xfId="0" applyFont="1" applyBorder="1" applyAlignment="1">
      <alignment horizontal="left" vertical="center" wrapText="1"/>
    </xf>
    <xf numFmtId="0" fontId="8" fillId="0" borderId="0" xfId="0" applyFont="1" applyBorder="1" applyAlignment="1">
      <alignment horizontal="left" vertical="center" wrapText="1"/>
    </xf>
    <xf numFmtId="0" fontId="8" fillId="0" borderId="14" xfId="0" applyFont="1" applyBorder="1" applyAlignment="1">
      <alignment horizontal="left" vertical="center" wrapText="1"/>
    </xf>
    <xf numFmtId="0" fontId="18" fillId="0" borderId="17" xfId="0" applyFont="1" applyBorder="1" applyAlignment="1">
      <alignment horizontal="left" vertical="center"/>
    </xf>
    <xf numFmtId="0" fontId="18" fillId="0" borderId="0" xfId="0" applyFont="1" applyBorder="1" applyAlignment="1">
      <alignment horizontal="left" vertical="center"/>
    </xf>
    <xf numFmtId="0" fontId="18" fillId="0" borderId="14" xfId="0" applyFont="1" applyBorder="1" applyAlignment="1">
      <alignment horizontal="left" vertical="center"/>
    </xf>
    <xf numFmtId="0" fontId="52" fillId="3" borderId="0" xfId="0" applyFont="1" applyFill="1" applyBorder="1" applyAlignment="1">
      <alignment horizontal="left" vertical="center" wrapText="1"/>
    </xf>
    <xf numFmtId="0" fontId="33" fillId="2" borderId="0" xfId="0" applyFont="1" applyFill="1" applyBorder="1" applyAlignment="1">
      <alignment horizontal="left" vertical="center" wrapText="1"/>
    </xf>
    <xf numFmtId="0" fontId="45" fillId="0" borderId="0" xfId="0" applyFont="1" applyAlignment="1">
      <alignment horizontal="left" vertical="center"/>
    </xf>
    <xf numFmtId="0" fontId="35" fillId="2" borderId="0" xfId="0" applyFont="1" applyFill="1" applyBorder="1" applyAlignment="1">
      <alignment horizontal="left" vertical="center" wrapText="1"/>
    </xf>
    <xf numFmtId="0" fontId="45" fillId="0" borderId="0" xfId="0" applyFont="1" applyAlignment="1">
      <alignment horizontal="left" vertical="center" wrapText="1"/>
    </xf>
    <xf numFmtId="0" fontId="37" fillId="0" borderId="0" xfId="0" applyFont="1" applyAlignment="1">
      <alignment horizontal="center" vertical="center"/>
    </xf>
    <xf numFmtId="0" fontId="45" fillId="0" borderId="0" xfId="0" applyFont="1" applyAlignment="1">
      <alignment vertical="center"/>
    </xf>
    <xf numFmtId="0" fontId="45" fillId="2" borderId="0" xfId="0" applyFont="1" applyFill="1" applyBorder="1" applyAlignment="1">
      <alignment horizontal="left" vertical="center"/>
    </xf>
    <xf numFmtId="0" fontId="43" fillId="0" borderId="0" xfId="0" applyFont="1" applyBorder="1" applyAlignment="1">
      <alignment horizontal="left" vertical="center"/>
    </xf>
    <xf numFmtId="0" fontId="43" fillId="0" borderId="0" xfId="0" applyFont="1" applyBorder="1" applyAlignment="1">
      <alignment horizontal="left" vertical="center" wrapText="1"/>
    </xf>
    <xf numFmtId="0" fontId="52" fillId="8" borderId="1" xfId="0" applyFont="1" applyFill="1" applyBorder="1" applyAlignment="1">
      <alignment horizontal="center" vertical="center"/>
    </xf>
    <xf numFmtId="0" fontId="52" fillId="8" borderId="2" xfId="0" applyFont="1" applyFill="1" applyBorder="1" applyAlignment="1">
      <alignment horizontal="center" vertical="center"/>
    </xf>
    <xf numFmtId="0" fontId="52" fillId="8" borderId="16" xfId="0" applyFont="1" applyFill="1" applyBorder="1" applyAlignment="1">
      <alignment horizontal="center" vertical="center"/>
    </xf>
    <xf numFmtId="0" fontId="52" fillId="8" borderId="17" xfId="0" applyFont="1" applyFill="1" applyBorder="1" applyAlignment="1">
      <alignment horizontal="center" vertical="center"/>
    </xf>
    <xf numFmtId="0" fontId="52" fillId="8" borderId="0" xfId="0" applyFont="1" applyFill="1" applyBorder="1" applyAlignment="1">
      <alignment horizontal="center" vertical="center"/>
    </xf>
    <xf numFmtId="0" fontId="52" fillId="8" borderId="14" xfId="0" applyFont="1" applyFill="1" applyBorder="1" applyAlignment="1">
      <alignment horizontal="center" vertical="center"/>
    </xf>
    <xf numFmtId="0" fontId="52" fillId="8" borderId="7" xfId="0" applyFont="1" applyFill="1" applyBorder="1" applyAlignment="1">
      <alignment horizontal="center" vertical="center"/>
    </xf>
    <xf numFmtId="0" fontId="52" fillId="8" borderId="5" xfId="0" applyFont="1" applyFill="1" applyBorder="1" applyAlignment="1">
      <alignment horizontal="center" vertical="center"/>
    </xf>
    <xf numFmtId="0" fontId="52" fillId="8" borderId="11" xfId="0" applyFont="1" applyFill="1" applyBorder="1" applyAlignment="1">
      <alignment horizontal="center" vertical="center"/>
    </xf>
    <xf numFmtId="0" fontId="52" fillId="3" borderId="0" xfId="0" applyFont="1" applyFill="1" applyBorder="1" applyAlignment="1">
      <alignment horizontal="center" vertical="center"/>
    </xf>
    <xf numFmtId="0" fontId="44" fillId="0" borderId="0" xfId="0" applyFont="1" applyAlignment="1">
      <alignment vertical="center"/>
    </xf>
    <xf numFmtId="0" fontId="43" fillId="0" borderId="0" xfId="0" applyFont="1" applyAlignment="1">
      <alignment vertical="center"/>
    </xf>
    <xf numFmtId="0" fontId="43" fillId="0" borderId="0" xfId="0" applyFont="1" applyAlignment="1">
      <alignment horizontal="left" vertical="center"/>
    </xf>
    <xf numFmtId="0" fontId="43" fillId="0" borderId="0" xfId="0" applyFont="1" applyAlignment="1">
      <alignment horizontal="left"/>
    </xf>
    <xf numFmtId="0" fontId="50" fillId="2" borderId="0" xfId="0" applyFont="1" applyFill="1" applyBorder="1" applyAlignment="1">
      <alignment horizontal="left" vertical="center" wrapText="1"/>
    </xf>
    <xf numFmtId="0" fontId="35" fillId="2" borderId="0" xfId="0" applyFont="1" applyFill="1" applyBorder="1" applyAlignment="1">
      <alignment horizontal="left" vertical="center"/>
    </xf>
    <xf numFmtId="0" fontId="22" fillId="8" borderId="1" xfId="0" applyFont="1" applyFill="1" applyBorder="1" applyAlignment="1">
      <alignment horizontal="center" vertical="center"/>
    </xf>
    <xf numFmtId="0" fontId="22" fillId="8" borderId="2" xfId="0" applyFont="1" applyFill="1" applyBorder="1" applyAlignment="1">
      <alignment horizontal="center" vertical="center"/>
    </xf>
    <xf numFmtId="0" fontId="22" fillId="8" borderId="16" xfId="0" applyFont="1" applyFill="1" applyBorder="1" applyAlignment="1">
      <alignment horizontal="center" vertical="center"/>
    </xf>
    <xf numFmtId="0" fontId="22" fillId="8" borderId="17" xfId="0" applyFont="1" applyFill="1" applyBorder="1" applyAlignment="1">
      <alignment horizontal="center" vertical="center"/>
    </xf>
    <xf numFmtId="0" fontId="22" fillId="8" borderId="0" xfId="0" applyFont="1" applyFill="1" applyBorder="1" applyAlignment="1">
      <alignment horizontal="center" vertical="center"/>
    </xf>
    <xf numFmtId="0" fontId="22" fillId="8" borderId="14" xfId="0" applyFont="1" applyFill="1" applyBorder="1" applyAlignment="1">
      <alignment horizontal="center" vertical="center"/>
    </xf>
    <xf numFmtId="0" fontId="22" fillId="8" borderId="7" xfId="0" applyFont="1" applyFill="1" applyBorder="1" applyAlignment="1">
      <alignment horizontal="center" vertical="center"/>
    </xf>
    <xf numFmtId="0" fontId="22" fillId="8" borderId="5" xfId="0" applyFont="1" applyFill="1" applyBorder="1" applyAlignment="1">
      <alignment horizontal="center" vertical="center"/>
    </xf>
    <xf numFmtId="0" fontId="22" fillId="8" borderId="11" xfId="0" applyFont="1" applyFill="1" applyBorder="1" applyAlignment="1">
      <alignment horizontal="center" vertical="center"/>
    </xf>
    <xf numFmtId="0" fontId="17" fillId="0" borderId="15" xfId="0" applyFont="1" applyBorder="1" applyAlignment="1">
      <alignment horizontal="left" vertical="center"/>
    </xf>
    <xf numFmtId="0" fontId="17" fillId="0" borderId="13" xfId="0" applyFont="1" applyBorder="1" applyAlignment="1">
      <alignment horizontal="left" vertical="center"/>
    </xf>
    <xf numFmtId="0" fontId="21" fillId="0" borderId="4" xfId="0" applyFont="1" applyBorder="1" applyAlignment="1">
      <alignment horizontal="center" vertical="center" wrapText="1"/>
    </xf>
    <xf numFmtId="0" fontId="21" fillId="0" borderId="19" xfId="0" applyFont="1" applyBorder="1" applyAlignment="1">
      <alignment horizontal="center" vertical="center" wrapText="1"/>
    </xf>
    <xf numFmtId="0" fontId="33" fillId="0" borderId="1" xfId="0" applyFont="1" applyBorder="1" applyAlignment="1">
      <alignment horizontal="left" vertical="center" wrapText="1"/>
    </xf>
    <xf numFmtId="0" fontId="33" fillId="0" borderId="17" xfId="0" applyFont="1" applyBorder="1" applyAlignment="1">
      <alignment horizontal="left" vertical="center" wrapText="1"/>
    </xf>
    <xf numFmtId="0" fontId="33" fillId="0" borderId="7" xfId="0" applyFont="1" applyBorder="1" applyAlignment="1">
      <alignment horizontal="left" vertical="center" wrapText="1"/>
    </xf>
    <xf numFmtId="0" fontId="33" fillId="0" borderId="15" xfId="0" applyFont="1" applyBorder="1" applyAlignment="1">
      <alignment horizontal="left" vertical="center" wrapText="1"/>
    </xf>
    <xf numFmtId="0" fontId="33" fillId="0" borderId="13" xfId="0" applyFont="1" applyBorder="1" applyAlignment="1">
      <alignment horizontal="left" vertical="center" wrapText="1"/>
    </xf>
    <xf numFmtId="0" fontId="33" fillId="0" borderId="12" xfId="0" applyFont="1" applyBorder="1" applyAlignment="1">
      <alignment horizontal="left" vertical="center" wrapText="1"/>
    </xf>
    <xf numFmtId="0" fontId="17" fillId="0" borderId="15" xfId="0" applyFont="1" applyBorder="1" applyAlignment="1">
      <alignment horizontal="left" vertical="center" wrapText="1"/>
    </xf>
    <xf numFmtId="0" fontId="17" fillId="0" borderId="12" xfId="0" applyFont="1" applyBorder="1" applyAlignment="1">
      <alignment horizontal="left" vertical="center" wrapText="1"/>
    </xf>
    <xf numFmtId="0" fontId="17" fillId="0" borderId="1" xfId="0" applyFont="1" applyBorder="1" applyAlignment="1">
      <alignment horizontal="left" vertical="center" wrapText="1"/>
    </xf>
    <xf numFmtId="0" fontId="17" fillId="0" borderId="7" xfId="0" applyFont="1" applyBorder="1" applyAlignment="1">
      <alignment horizontal="left" vertical="center" wrapText="1"/>
    </xf>
    <xf numFmtId="0" fontId="17" fillId="0" borderId="17" xfId="0" applyFont="1" applyBorder="1" applyAlignment="1">
      <alignment horizontal="left" vertical="center" wrapText="1"/>
    </xf>
    <xf numFmtId="0" fontId="17" fillId="0" borderId="53" xfId="0" applyFont="1" applyBorder="1" applyAlignment="1">
      <alignment horizontal="left" vertical="center" wrapText="1"/>
    </xf>
    <xf numFmtId="0" fontId="17" fillId="0" borderId="44" xfId="0" applyFont="1" applyBorder="1" applyAlignment="1">
      <alignment horizontal="left" vertical="center" wrapText="1"/>
    </xf>
    <xf numFmtId="0" fontId="17" fillId="0" borderId="54" xfId="0" applyFont="1" applyBorder="1" applyAlignment="1">
      <alignment horizontal="left" vertical="center" wrapText="1"/>
    </xf>
    <xf numFmtId="0" fontId="21" fillId="0" borderId="50" xfId="0" applyFont="1" applyBorder="1" applyAlignment="1">
      <alignment horizontal="center" vertical="center" wrapText="1"/>
    </xf>
    <xf numFmtId="0" fontId="21" fillId="0" borderId="68" xfId="0" applyFont="1" applyBorder="1" applyAlignment="1">
      <alignment horizontal="center" vertical="center" wrapText="1"/>
    </xf>
    <xf numFmtId="0" fontId="21" fillId="0" borderId="69" xfId="0" applyFont="1" applyBorder="1" applyAlignment="1">
      <alignment horizontal="center" vertical="center" wrapText="1"/>
    </xf>
    <xf numFmtId="0" fontId="21" fillId="0" borderId="57"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58" xfId="0" applyFont="1" applyBorder="1" applyAlignment="1">
      <alignment horizontal="center" vertical="center" wrapText="1"/>
    </xf>
    <xf numFmtId="0" fontId="21" fillId="0" borderId="70" xfId="0" applyFont="1" applyBorder="1" applyAlignment="1">
      <alignment horizontal="center" vertical="center" wrapText="1"/>
    </xf>
    <xf numFmtId="0" fontId="21" fillId="0" borderId="63" xfId="0" applyFont="1" applyBorder="1" applyAlignment="1">
      <alignment horizontal="center" vertical="center" wrapText="1"/>
    </xf>
    <xf numFmtId="0" fontId="21" fillId="0" borderId="74"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11" xfId="0" applyFont="1" applyBorder="1" applyAlignment="1">
      <alignment horizontal="center" vertical="center" wrapText="1"/>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4" xfId="0" applyFont="1" applyBorder="1" applyAlignment="1">
      <alignment horizontal="center" vertical="center"/>
    </xf>
    <xf numFmtId="0" fontId="5" fillId="0" borderId="19" xfId="0" applyFont="1" applyBorder="1" applyAlignment="1">
      <alignment horizontal="center" vertical="center"/>
    </xf>
    <xf numFmtId="2" fontId="21" fillId="0" borderId="4" xfId="0" applyNumberFormat="1" applyFont="1" applyBorder="1" applyAlignment="1">
      <alignment horizontal="center" vertical="center"/>
    </xf>
    <xf numFmtId="2" fontId="3" fillId="0" borderId="4" xfId="0" applyNumberFormat="1" applyFont="1" applyBorder="1" applyAlignment="1">
      <alignment horizontal="center" vertical="center"/>
    </xf>
    <xf numFmtId="2" fontId="3" fillId="0" borderId="19" xfId="0" applyNumberFormat="1" applyFont="1" applyBorder="1" applyAlignment="1">
      <alignment horizontal="center" vertical="center"/>
    </xf>
    <xf numFmtId="0" fontId="21" fillId="0" borderId="4" xfId="0" applyFont="1" applyBorder="1" applyAlignment="1">
      <alignment horizontal="center" vertical="center"/>
    </xf>
    <xf numFmtId="0" fontId="21" fillId="0" borderId="19" xfId="0" applyFont="1" applyBorder="1" applyAlignment="1">
      <alignment horizontal="center" vertical="center"/>
    </xf>
    <xf numFmtId="0" fontId="7" fillId="3" borderId="35" xfId="0" applyFont="1" applyFill="1" applyBorder="1" applyAlignment="1">
      <alignment horizontal="left" vertical="center"/>
    </xf>
    <xf numFmtId="0" fontId="7" fillId="3" borderId="72" xfId="0" applyFont="1" applyFill="1" applyBorder="1" applyAlignment="1">
      <alignment horizontal="left" vertical="center"/>
    </xf>
    <xf numFmtId="0" fontId="7" fillId="3" borderId="51" xfId="0" applyFont="1" applyFill="1" applyBorder="1" applyAlignment="1">
      <alignment horizontal="left" vertical="center"/>
    </xf>
    <xf numFmtId="0" fontId="7" fillId="0" borderId="26" xfId="0" applyFont="1" applyBorder="1" applyAlignment="1">
      <alignment horizontal="center" vertical="center"/>
    </xf>
    <xf numFmtId="0" fontId="7" fillId="0" borderId="18" xfId="0" applyFont="1" applyBorder="1" applyAlignment="1">
      <alignment horizontal="center" vertical="center"/>
    </xf>
    <xf numFmtId="3" fontId="25" fillId="0" borderId="27" xfId="0" applyNumberFormat="1" applyFont="1" applyBorder="1" applyAlignment="1">
      <alignment horizontal="center" vertical="center" wrapText="1"/>
    </xf>
    <xf numFmtId="3" fontId="25" fillId="0" borderId="4" xfId="0" applyNumberFormat="1" applyFont="1" applyBorder="1" applyAlignment="1">
      <alignment horizontal="center" vertical="center" wrapText="1"/>
    </xf>
    <xf numFmtId="0" fontId="7" fillId="0" borderId="8" xfId="0" applyFont="1" applyBorder="1" applyAlignment="1">
      <alignment horizontal="center" vertical="center"/>
    </xf>
    <xf numFmtId="0" fontId="7" fillId="0" borderId="10" xfId="0" applyFont="1" applyBorder="1" applyAlignment="1">
      <alignment horizontal="center" vertical="center"/>
    </xf>
    <xf numFmtId="0" fontId="7" fillId="0" borderId="44"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18" xfId="0" applyFont="1" applyBorder="1" applyAlignment="1">
      <alignment horizontal="left" vertical="center" wrapText="1"/>
    </xf>
    <xf numFmtId="0" fontId="7" fillId="0" borderId="4" xfId="0" applyFont="1" applyBorder="1" applyAlignment="1">
      <alignment horizontal="left"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73" xfId="0" applyFont="1" applyBorder="1" applyAlignment="1">
      <alignment horizontal="center" vertical="center"/>
    </xf>
    <xf numFmtId="0" fontId="7" fillId="0" borderId="53" xfId="0" applyFont="1" applyBorder="1" applyAlignment="1">
      <alignment horizontal="center" vertical="center"/>
    </xf>
    <xf numFmtId="0" fontId="7" fillId="0" borderId="70" xfId="0" applyFont="1" applyBorder="1" applyAlignment="1">
      <alignment horizontal="center" vertical="center"/>
    </xf>
    <xf numFmtId="0" fontId="7" fillId="0" borderId="38" xfId="0" applyFont="1" applyBorder="1" applyAlignment="1">
      <alignment horizontal="center" vertical="center"/>
    </xf>
    <xf numFmtId="0" fontId="7" fillId="0" borderId="41" xfId="0" applyFont="1" applyBorder="1" applyAlignment="1">
      <alignment horizontal="center" vertical="center"/>
    </xf>
    <xf numFmtId="0" fontId="7" fillId="0" borderId="25" xfId="0" applyFont="1" applyBorder="1" applyAlignment="1">
      <alignment horizontal="center" vertical="center"/>
    </xf>
    <xf numFmtId="0" fontId="21" fillId="11" borderId="6" xfId="0" applyFont="1" applyFill="1" applyBorder="1" applyAlignment="1">
      <alignment horizontal="center" vertical="center" wrapText="1"/>
    </xf>
    <xf numFmtId="0" fontId="21" fillId="11" borderId="3" xfId="0" applyFont="1" applyFill="1" applyBorder="1" applyAlignment="1">
      <alignment horizontal="center" vertical="center" wrapText="1"/>
    </xf>
    <xf numFmtId="0" fontId="21" fillId="11" borderId="33" xfId="0" applyFont="1" applyFill="1" applyBorder="1" applyAlignment="1">
      <alignment horizontal="center" vertical="center" wrapText="1"/>
    </xf>
    <xf numFmtId="0" fontId="7" fillId="3" borderId="54" xfId="0" applyFont="1" applyFill="1" applyBorder="1" applyAlignment="1">
      <alignment horizontal="left" vertical="center" wrapText="1"/>
    </xf>
    <xf numFmtId="0" fontId="7" fillId="3" borderId="68" xfId="0" applyFont="1" applyFill="1" applyBorder="1" applyAlignment="1">
      <alignment horizontal="left" vertical="center" wrapText="1"/>
    </xf>
    <xf numFmtId="0" fontId="7" fillId="3" borderId="37" xfId="0" applyFont="1" applyFill="1" applyBorder="1" applyAlignment="1">
      <alignment horizontal="left" vertical="center" wrapText="1"/>
    </xf>
    <xf numFmtId="0" fontId="7" fillId="3" borderId="53" xfId="0" applyFont="1" applyFill="1" applyBorder="1" applyAlignment="1">
      <alignment horizontal="left" vertical="center" wrapText="1"/>
    </xf>
    <xf numFmtId="0" fontId="7" fillId="3" borderId="70" xfId="0" applyFont="1" applyFill="1" applyBorder="1" applyAlignment="1">
      <alignment horizontal="left" vertical="center" wrapText="1"/>
    </xf>
    <xf numFmtId="0" fontId="7" fillId="3" borderId="38" xfId="0" applyFont="1" applyFill="1" applyBorder="1" applyAlignment="1">
      <alignment horizontal="left" vertical="center" wrapText="1"/>
    </xf>
    <xf numFmtId="176" fontId="3" fillId="3" borderId="31" xfId="0" applyNumberFormat="1" applyFont="1" applyFill="1" applyBorder="1" applyAlignment="1">
      <alignment horizontal="center" vertical="center"/>
    </xf>
    <xf numFmtId="176" fontId="3" fillId="3" borderId="25" xfId="0" applyNumberFormat="1" applyFont="1" applyFill="1" applyBorder="1" applyAlignment="1">
      <alignment horizontal="center" vertical="center"/>
    </xf>
    <xf numFmtId="9" fontId="7" fillId="3" borderId="31" xfId="0" applyNumberFormat="1" applyFont="1" applyFill="1" applyBorder="1" applyAlignment="1">
      <alignment horizontal="center" vertical="center"/>
    </xf>
    <xf numFmtId="9" fontId="7" fillId="3" borderId="25" xfId="0" applyNumberFormat="1" applyFont="1" applyFill="1" applyBorder="1" applyAlignment="1">
      <alignment horizontal="center" vertical="center"/>
    </xf>
    <xf numFmtId="176" fontId="7" fillId="3" borderId="31" xfId="0" applyNumberFormat="1" applyFont="1" applyFill="1" applyBorder="1" applyAlignment="1">
      <alignment horizontal="center" vertical="center"/>
    </xf>
    <xf numFmtId="176" fontId="7" fillId="3" borderId="25" xfId="0" applyNumberFormat="1" applyFont="1" applyFill="1" applyBorder="1" applyAlignment="1">
      <alignment horizontal="center" vertical="center"/>
    </xf>
    <xf numFmtId="3" fontId="25" fillId="0" borderId="28" xfId="0" applyNumberFormat="1" applyFont="1" applyBorder="1" applyAlignment="1">
      <alignment horizontal="center" vertical="center" wrapText="1"/>
    </xf>
    <xf numFmtId="3" fontId="25" fillId="0" borderId="19" xfId="0" applyNumberFormat="1" applyFont="1" applyBorder="1" applyAlignment="1">
      <alignment horizontal="center" vertical="center" wrapText="1"/>
    </xf>
    <xf numFmtId="0" fontId="21" fillId="3" borderId="6" xfId="0" applyFont="1" applyFill="1" applyBorder="1" applyAlignment="1">
      <alignment horizontal="center" vertical="center"/>
    </xf>
    <xf numFmtId="0" fontId="21" fillId="3" borderId="3" xfId="0" applyFont="1" applyFill="1" applyBorder="1" applyAlignment="1">
      <alignment horizontal="center" vertical="center"/>
    </xf>
    <xf numFmtId="0" fontId="21" fillId="3" borderId="33" xfId="0" applyFont="1" applyFill="1" applyBorder="1" applyAlignment="1">
      <alignment horizontal="center" vertical="center"/>
    </xf>
    <xf numFmtId="0" fontId="40" fillId="11" borderId="6" xfId="0" applyFont="1" applyFill="1" applyBorder="1" applyAlignment="1">
      <alignment horizontal="center" vertical="center" wrapText="1"/>
    </xf>
    <xf numFmtId="0" fontId="40" fillId="11" borderId="3" xfId="0" applyFont="1" applyFill="1" applyBorder="1" applyAlignment="1">
      <alignment horizontal="center" vertical="center" wrapText="1"/>
    </xf>
    <xf numFmtId="0" fontId="40" fillId="11" borderId="33" xfId="0" applyFont="1" applyFill="1" applyBorder="1" applyAlignment="1">
      <alignment horizontal="center" vertical="center" wrapText="1"/>
    </xf>
    <xf numFmtId="0" fontId="21" fillId="3" borderId="6" xfId="0" applyFont="1" applyFill="1" applyBorder="1" applyAlignment="1">
      <alignment horizontal="center"/>
    </xf>
    <xf numFmtId="0" fontId="21" fillId="3" borderId="3" xfId="0" applyFont="1" applyFill="1" applyBorder="1" applyAlignment="1">
      <alignment horizontal="center"/>
    </xf>
    <xf numFmtId="0" fontId="21" fillId="3" borderId="33" xfId="0" applyFont="1" applyFill="1" applyBorder="1" applyAlignment="1">
      <alignment horizontal="center"/>
    </xf>
    <xf numFmtId="3" fontId="25" fillId="3" borderId="28" xfId="0" applyNumberFormat="1" applyFont="1" applyFill="1" applyBorder="1" applyAlignment="1">
      <alignment horizontal="center" vertical="center" wrapText="1"/>
    </xf>
    <xf numFmtId="3" fontId="25" fillId="3" borderId="19" xfId="0" applyNumberFormat="1" applyFont="1" applyFill="1" applyBorder="1" applyAlignment="1">
      <alignment horizontal="center" vertical="center" wrapText="1"/>
    </xf>
    <xf numFmtId="0" fontId="7" fillId="0" borderId="8" xfId="0" applyFont="1" applyBorder="1" applyAlignment="1">
      <alignment horizontal="center"/>
    </xf>
    <xf numFmtId="0" fontId="7" fillId="0" borderId="10" xfId="0" applyFont="1" applyBorder="1" applyAlignment="1">
      <alignment horizontal="center"/>
    </xf>
    <xf numFmtId="0" fontId="0" fillId="0" borderId="0" xfId="0" applyBorder="1" applyAlignment="1">
      <alignment horizontal="left" vertical="center" wrapText="1"/>
    </xf>
    <xf numFmtId="0" fontId="7" fillId="3" borderId="17" xfId="0" applyFont="1" applyFill="1" applyBorder="1" applyAlignment="1">
      <alignment horizontal="left" vertical="center" wrapText="1"/>
    </xf>
    <xf numFmtId="0" fontId="7" fillId="3" borderId="0" xfId="0" applyFont="1" applyFill="1" applyBorder="1" applyAlignment="1">
      <alignment horizontal="left" vertical="center" wrapText="1"/>
    </xf>
    <xf numFmtId="0" fontId="7" fillId="3" borderId="47" xfId="0" applyFont="1" applyFill="1" applyBorder="1" applyAlignment="1">
      <alignment horizontal="left" vertical="center" wrapText="1"/>
    </xf>
    <xf numFmtId="176" fontId="3" fillId="3" borderId="75" xfId="0" applyNumberFormat="1" applyFont="1" applyFill="1" applyBorder="1" applyAlignment="1">
      <alignment horizontal="center" vertical="center"/>
    </xf>
    <xf numFmtId="0" fontId="22" fillId="11" borderId="1" xfId="0" applyFont="1" applyFill="1" applyBorder="1" applyAlignment="1">
      <alignment horizontal="center" vertical="center"/>
    </xf>
    <xf numFmtId="0" fontId="22" fillId="11" borderId="2" xfId="0" applyFont="1" applyFill="1" applyBorder="1" applyAlignment="1">
      <alignment horizontal="center" vertical="center"/>
    </xf>
    <xf numFmtId="0" fontId="22" fillId="11" borderId="16" xfId="0" applyFont="1" applyFill="1" applyBorder="1" applyAlignment="1">
      <alignment horizontal="center" vertical="center"/>
    </xf>
    <xf numFmtId="0" fontId="22" fillId="11" borderId="17" xfId="0" applyFont="1" applyFill="1" applyBorder="1" applyAlignment="1">
      <alignment horizontal="center" vertical="center"/>
    </xf>
    <xf numFmtId="0" fontId="22" fillId="11" borderId="0" xfId="0" applyFont="1" applyFill="1" applyBorder="1" applyAlignment="1">
      <alignment horizontal="center" vertical="center"/>
    </xf>
    <xf numFmtId="0" fontId="22" fillId="11" borderId="14" xfId="0" applyFont="1" applyFill="1" applyBorder="1" applyAlignment="1">
      <alignment horizontal="center" vertical="center"/>
    </xf>
    <xf numFmtId="0" fontId="22" fillId="11" borderId="7" xfId="0" applyFont="1" applyFill="1" applyBorder="1" applyAlignment="1">
      <alignment horizontal="center" vertical="center"/>
    </xf>
    <xf numFmtId="0" fontId="22" fillId="11" borderId="5" xfId="0" applyFont="1" applyFill="1" applyBorder="1" applyAlignment="1">
      <alignment horizontal="center" vertical="center"/>
    </xf>
    <xf numFmtId="0" fontId="22" fillId="11" borderId="11" xfId="0" applyFont="1" applyFill="1" applyBorder="1" applyAlignment="1">
      <alignment horizontal="center" vertical="center"/>
    </xf>
    <xf numFmtId="0" fontId="49" fillId="0" borderId="1" xfId="0" applyFont="1" applyBorder="1" applyAlignment="1">
      <alignment horizontal="left" vertical="center" wrapText="1"/>
    </xf>
    <xf numFmtId="0" fontId="49" fillId="0" borderId="2" xfId="0" applyFont="1" applyBorder="1" applyAlignment="1">
      <alignment horizontal="left" vertical="center" wrapText="1"/>
    </xf>
    <xf numFmtId="0" fontId="49" fillId="0" borderId="16" xfId="0" applyFont="1" applyBorder="1" applyAlignment="1">
      <alignment horizontal="left" vertical="center" wrapText="1"/>
    </xf>
    <xf numFmtId="0" fontId="49" fillId="0" borderId="17" xfId="0" applyFont="1" applyBorder="1" applyAlignment="1">
      <alignment horizontal="left" vertical="center" wrapText="1"/>
    </xf>
    <xf numFmtId="0" fontId="49" fillId="0" borderId="0" xfId="0" applyFont="1" applyBorder="1" applyAlignment="1">
      <alignment horizontal="left" vertical="center" wrapText="1"/>
    </xf>
    <xf numFmtId="0" fontId="49" fillId="0" borderId="14" xfId="0" applyFont="1" applyBorder="1" applyAlignment="1">
      <alignment horizontal="left" vertical="center" wrapText="1"/>
    </xf>
    <xf numFmtId="0" fontId="49" fillId="0" borderId="7" xfId="0" applyFont="1" applyBorder="1" applyAlignment="1">
      <alignment horizontal="left" vertical="center" wrapText="1"/>
    </xf>
    <xf numFmtId="0" fontId="49" fillId="0" borderId="5" xfId="0" applyFont="1" applyBorder="1" applyAlignment="1">
      <alignment horizontal="left" vertical="center" wrapText="1"/>
    </xf>
    <xf numFmtId="0" fontId="49" fillId="0" borderId="11" xfId="0" applyFont="1" applyBorder="1" applyAlignment="1">
      <alignment horizontal="left" vertical="center" wrapText="1"/>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16" xfId="0" applyFont="1" applyBorder="1" applyAlignment="1">
      <alignment horizontal="center" vertical="center" wrapText="1"/>
    </xf>
    <xf numFmtId="0" fontId="25" fillId="0" borderId="17"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14"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11" xfId="0" applyFont="1" applyBorder="1" applyAlignment="1">
      <alignment horizontal="center" vertical="center" wrapText="1"/>
    </xf>
    <xf numFmtId="0" fontId="21" fillId="3" borderId="6" xfId="0" applyFont="1" applyFill="1" applyBorder="1" applyAlignment="1">
      <alignment horizontal="center" vertical="center" wrapText="1"/>
    </xf>
    <xf numFmtId="0" fontId="21" fillId="3" borderId="3" xfId="0" applyFont="1" applyFill="1" applyBorder="1" applyAlignment="1">
      <alignment horizontal="center" vertical="center" wrapText="1"/>
    </xf>
    <xf numFmtId="0" fontId="21" fillId="3" borderId="33" xfId="0" applyFont="1" applyFill="1" applyBorder="1" applyAlignment="1">
      <alignment horizontal="center" vertical="center" wrapText="1"/>
    </xf>
    <xf numFmtId="0" fontId="21" fillId="11" borderId="1" xfId="0" applyFont="1" applyFill="1" applyBorder="1" applyAlignment="1">
      <alignment horizontal="left" vertical="center" wrapText="1"/>
    </xf>
    <xf numFmtId="0" fontId="21" fillId="11" borderId="2" xfId="0" applyFont="1" applyFill="1" applyBorder="1" applyAlignment="1">
      <alignment horizontal="left" vertical="center" wrapText="1"/>
    </xf>
    <xf numFmtId="0" fontId="21" fillId="11" borderId="16" xfId="0" applyFont="1" applyFill="1" applyBorder="1" applyAlignment="1">
      <alignment horizontal="left" vertical="center" wrapText="1"/>
    </xf>
    <xf numFmtId="0" fontId="21" fillId="11" borderId="7" xfId="0" applyFont="1" applyFill="1" applyBorder="1" applyAlignment="1">
      <alignment horizontal="left" vertical="center" wrapText="1"/>
    </xf>
    <xf numFmtId="0" fontId="21" fillId="11" borderId="5" xfId="0" applyFont="1" applyFill="1" applyBorder="1" applyAlignment="1">
      <alignment horizontal="left" vertical="center" wrapText="1"/>
    </xf>
    <xf numFmtId="0" fontId="21" fillId="11" borderId="11" xfId="0" applyFont="1" applyFill="1" applyBorder="1" applyAlignment="1">
      <alignment horizontal="left" vertical="center" wrapText="1"/>
    </xf>
    <xf numFmtId="0" fontId="25" fillId="0" borderId="6"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33" xfId="0" applyFont="1" applyBorder="1" applyAlignment="1">
      <alignment horizontal="center" vertical="center" wrapText="1"/>
    </xf>
    <xf numFmtId="0" fontId="21" fillId="11" borderId="6" xfId="0" applyFont="1" applyFill="1" applyBorder="1" applyAlignment="1">
      <alignment horizontal="left" vertical="center" wrapText="1"/>
    </xf>
    <xf numFmtId="0" fontId="21" fillId="11" borderId="3" xfId="0" applyFont="1" applyFill="1" applyBorder="1" applyAlignment="1">
      <alignment horizontal="left" vertical="center" wrapText="1"/>
    </xf>
    <xf numFmtId="0" fontId="21" fillId="11" borderId="33" xfId="0" applyFont="1" applyFill="1" applyBorder="1" applyAlignment="1">
      <alignment horizontal="left" vertical="center" wrapText="1"/>
    </xf>
    <xf numFmtId="0" fontId="7" fillId="2" borderId="15" xfId="0" applyFont="1" applyFill="1" applyBorder="1" applyAlignment="1">
      <alignment horizontal="center" vertical="center" wrapText="1"/>
    </xf>
    <xf numFmtId="0" fontId="7" fillId="2" borderId="12" xfId="0" applyFont="1" applyFill="1" applyBorder="1" applyAlignment="1">
      <alignment horizontal="center" vertical="center" wrapText="1"/>
    </xf>
    <xf numFmtId="9" fontId="7" fillId="0" borderId="15" xfId="0" applyNumberFormat="1" applyFont="1" applyBorder="1" applyAlignment="1">
      <alignment horizontal="center" vertical="center" wrapText="1"/>
    </xf>
    <xf numFmtId="9" fontId="7" fillId="0" borderId="12" xfId="0" applyNumberFormat="1" applyFont="1" applyBorder="1" applyAlignment="1">
      <alignment horizontal="center" vertical="center" wrapText="1"/>
    </xf>
    <xf numFmtId="0" fontId="7" fillId="0" borderId="15" xfId="0" applyFont="1" applyBorder="1" applyAlignment="1">
      <alignment horizontal="center" vertical="center" wrapText="1"/>
    </xf>
    <xf numFmtId="0" fontId="7" fillId="0" borderId="12" xfId="0" applyFont="1" applyBorder="1" applyAlignment="1">
      <alignment horizontal="center" vertical="center" wrapText="1"/>
    </xf>
    <xf numFmtId="3" fontId="25" fillId="0" borderId="15" xfId="0" applyNumberFormat="1" applyFont="1" applyBorder="1" applyAlignment="1">
      <alignment horizontal="center" vertical="center" wrapText="1"/>
    </xf>
    <xf numFmtId="3" fontId="25" fillId="0" borderId="12" xfId="0" applyNumberFormat="1" applyFont="1" applyBorder="1" applyAlignment="1">
      <alignment horizontal="center" vertical="center" wrapText="1"/>
    </xf>
    <xf numFmtId="0" fontId="7" fillId="0" borderId="6" xfId="0" applyFont="1" applyBorder="1" applyAlignment="1">
      <alignment horizontal="center" vertical="center"/>
    </xf>
    <xf numFmtId="0" fontId="7" fillId="0" borderId="3" xfId="0" applyFont="1" applyBorder="1" applyAlignment="1">
      <alignment horizontal="center" vertical="center"/>
    </xf>
    <xf numFmtId="0" fontId="7" fillId="0" borderId="48" xfId="0" applyFont="1" applyBorder="1" applyAlignment="1">
      <alignment horizontal="center" vertical="center"/>
    </xf>
    <xf numFmtId="0" fontId="25" fillId="0" borderId="6" xfId="0" applyFont="1" applyBorder="1" applyAlignment="1">
      <alignment horizontal="center" vertical="center"/>
    </xf>
    <xf numFmtId="0" fontId="25" fillId="0" borderId="3" xfId="0" applyFont="1" applyBorder="1" applyAlignment="1">
      <alignment horizontal="center" vertical="center"/>
    </xf>
    <xf numFmtId="0" fontId="25" fillId="0" borderId="33" xfId="0" applyFont="1" applyBorder="1" applyAlignment="1">
      <alignment horizontal="center" vertical="center"/>
    </xf>
    <xf numFmtId="0" fontId="54" fillId="0" borderId="7" xfId="0" applyFont="1" applyBorder="1" applyAlignment="1">
      <alignment horizontal="center" vertical="center"/>
    </xf>
    <xf numFmtId="0" fontId="54" fillId="0" borderId="5" xfId="0" applyFont="1" applyBorder="1" applyAlignment="1">
      <alignment horizontal="center" vertical="center"/>
    </xf>
    <xf numFmtId="0" fontId="25" fillId="0" borderId="26" xfId="0" applyFont="1" applyBorder="1" applyAlignment="1">
      <alignment horizontal="center" vertical="center"/>
    </xf>
    <xf numFmtId="0" fontId="42" fillId="0" borderId="27" xfId="0" applyFont="1" applyBorder="1" applyAlignment="1">
      <alignment horizontal="center" vertical="center"/>
    </xf>
    <xf numFmtId="0" fontId="42" fillId="0" borderId="28" xfId="0" applyFont="1" applyBorder="1" applyAlignment="1">
      <alignment horizontal="center" vertical="center"/>
    </xf>
    <xf numFmtId="0" fontId="25" fillId="0" borderId="26" xfId="0" applyFont="1" applyBorder="1" applyAlignment="1">
      <alignment horizontal="center" vertical="center" wrapText="1"/>
    </xf>
    <xf numFmtId="0" fontId="25" fillId="0" borderId="27" xfId="0" applyFont="1" applyBorder="1" applyAlignment="1">
      <alignment horizontal="center" vertical="center" wrapText="1"/>
    </xf>
    <xf numFmtId="0" fontId="25" fillId="0" borderId="28" xfId="0" applyFont="1" applyBorder="1" applyAlignment="1">
      <alignment horizontal="center" vertical="center" wrapText="1"/>
    </xf>
    <xf numFmtId="0" fontId="25" fillId="0" borderId="43" xfId="0" applyFont="1" applyBorder="1" applyAlignment="1">
      <alignment horizontal="center" vertical="center" wrapText="1"/>
    </xf>
    <xf numFmtId="1" fontId="25" fillId="0" borderId="45" xfId="0" applyNumberFormat="1" applyFont="1" applyBorder="1" applyAlignment="1">
      <alignment horizontal="center" vertical="center" wrapText="1"/>
    </xf>
    <xf numFmtId="1" fontId="25" fillId="0" borderId="34" xfId="0" applyNumberFormat="1" applyFont="1" applyBorder="1" applyAlignment="1">
      <alignment horizontal="center" vertical="center" wrapText="1"/>
    </xf>
    <xf numFmtId="0" fontId="25" fillId="0" borderId="18" xfId="0" applyFont="1" applyBorder="1" applyAlignment="1">
      <alignment horizontal="left" vertical="center" wrapText="1"/>
    </xf>
    <xf numFmtId="0" fontId="25" fillId="0" borderId="4" xfId="0" applyFont="1" applyBorder="1" applyAlignment="1">
      <alignment horizontal="left" vertical="center" wrapText="1"/>
    </xf>
    <xf numFmtId="0" fontId="25" fillId="0" borderId="8" xfId="0" applyFont="1" applyBorder="1" applyAlignment="1">
      <alignment horizontal="left" vertical="center" wrapText="1"/>
    </xf>
    <xf numFmtId="3" fontId="25" fillId="0" borderId="26" xfId="0" applyNumberFormat="1" applyFont="1" applyBorder="1" applyAlignment="1">
      <alignment horizontal="center" vertical="center" wrapText="1"/>
    </xf>
    <xf numFmtId="1" fontId="25" fillId="0" borderId="26" xfId="0" applyNumberFormat="1" applyFont="1" applyBorder="1" applyAlignment="1">
      <alignment horizontal="center" vertical="center"/>
    </xf>
    <xf numFmtId="1" fontId="25" fillId="0" borderId="27" xfId="0" applyNumberFormat="1" applyFont="1" applyBorder="1" applyAlignment="1">
      <alignment horizontal="center" vertical="center"/>
    </xf>
    <xf numFmtId="1" fontId="25" fillId="0" borderId="28" xfId="0" applyNumberFormat="1" applyFont="1" applyBorder="1" applyAlignment="1">
      <alignment horizontal="center" vertical="center"/>
    </xf>
    <xf numFmtId="0" fontId="32" fillId="3" borderId="6" xfId="0" applyFont="1" applyFill="1" applyBorder="1" applyAlignment="1">
      <alignment horizontal="left" vertical="center"/>
    </xf>
    <xf numFmtId="0" fontId="32" fillId="3" borderId="3" xfId="0" applyFont="1" applyFill="1" applyBorder="1" applyAlignment="1">
      <alignment horizontal="left" vertical="center"/>
    </xf>
    <xf numFmtId="0" fontId="32" fillId="3" borderId="33" xfId="0" applyFont="1" applyFill="1" applyBorder="1" applyAlignment="1">
      <alignment horizontal="left" vertical="center"/>
    </xf>
    <xf numFmtId="0" fontId="17" fillId="0" borderId="6" xfId="0" applyFont="1" applyBorder="1" applyAlignment="1">
      <alignment horizontal="center" vertical="center"/>
    </xf>
    <xf numFmtId="0" fontId="17" fillId="0" borderId="3" xfId="0" applyFont="1" applyBorder="1" applyAlignment="1">
      <alignment horizontal="center" vertical="center"/>
    </xf>
    <xf numFmtId="3" fontId="25" fillId="0" borderId="21" xfId="0" applyNumberFormat="1" applyFont="1" applyBorder="1" applyAlignment="1">
      <alignment horizontal="left" vertical="center"/>
    </xf>
    <xf numFmtId="3" fontId="25" fillId="0" borderId="22" xfId="0" applyNumberFormat="1" applyFont="1" applyBorder="1" applyAlignment="1">
      <alignment horizontal="left" vertical="center"/>
    </xf>
    <xf numFmtId="3" fontId="25" fillId="0" borderId="52" xfId="0" applyNumberFormat="1" applyFont="1" applyBorder="1" applyAlignment="1">
      <alignment horizontal="left" vertical="center"/>
    </xf>
    <xf numFmtId="0" fontId="0" fillId="0" borderId="0" xfId="0" applyAlignment="1">
      <alignment horizontal="center"/>
    </xf>
    <xf numFmtId="0" fontId="25" fillId="0" borderId="20" xfId="0" applyFont="1" applyBorder="1" applyAlignment="1">
      <alignment horizontal="left" vertical="center"/>
    </xf>
    <xf numFmtId="0" fontId="25" fillId="0" borderId="24" xfId="0" applyFont="1" applyBorder="1" applyAlignment="1">
      <alignment horizontal="left" vertical="center"/>
    </xf>
    <xf numFmtId="0" fontId="25" fillId="0" borderId="58" xfId="0" applyFont="1" applyBorder="1" applyAlignment="1">
      <alignment horizontal="left" vertical="center"/>
    </xf>
    <xf numFmtId="0" fontId="25" fillId="0" borderId="18" xfId="0" applyFont="1" applyBorder="1" applyAlignment="1">
      <alignment horizontal="left" vertical="center"/>
    </xf>
    <xf numFmtId="0" fontId="25" fillId="0" borderId="4" xfId="0" applyFont="1" applyBorder="1" applyAlignment="1">
      <alignment horizontal="left" vertical="center"/>
    </xf>
    <xf numFmtId="0" fontId="25" fillId="0" borderId="8" xfId="0" applyFont="1" applyBorder="1" applyAlignment="1">
      <alignment horizontal="left" vertical="center"/>
    </xf>
    <xf numFmtId="0" fontId="25" fillId="0" borderId="18" xfId="0" applyFont="1" applyBorder="1" applyAlignment="1">
      <alignment horizontal="left" wrapText="1"/>
    </xf>
    <xf numFmtId="0" fontId="25" fillId="0" borderId="4" xfId="0" applyFont="1" applyBorder="1" applyAlignment="1">
      <alignment horizontal="left" wrapText="1"/>
    </xf>
    <xf numFmtId="0" fontId="25" fillId="0" borderId="8" xfId="0" applyFont="1" applyBorder="1" applyAlignment="1">
      <alignment horizontal="left" wrapText="1"/>
    </xf>
    <xf numFmtId="0" fontId="25" fillId="0" borderId="18" xfId="0" applyFont="1" applyBorder="1" applyAlignment="1">
      <alignment vertical="center" wrapText="1"/>
    </xf>
    <xf numFmtId="0" fontId="25" fillId="0" borderId="4" xfId="0" applyFont="1" applyBorder="1" applyAlignment="1">
      <alignment vertical="center" wrapText="1"/>
    </xf>
    <xf numFmtId="0" fontId="25" fillId="0" borderId="8" xfId="0" applyFont="1" applyBorder="1" applyAlignment="1">
      <alignment vertical="center" wrapText="1"/>
    </xf>
    <xf numFmtId="0" fontId="25" fillId="0" borderId="27" xfId="0" applyFont="1" applyBorder="1" applyAlignment="1">
      <alignment horizontal="center" vertical="center"/>
    </xf>
    <xf numFmtId="0" fontId="25" fillId="0" borderId="61" xfId="0" applyFont="1" applyBorder="1" applyAlignment="1">
      <alignment horizontal="center" vertical="center"/>
    </xf>
    <xf numFmtId="0" fontId="25" fillId="0" borderId="21" xfId="0" applyFont="1" applyBorder="1" applyAlignment="1">
      <alignment horizontal="center" vertical="center"/>
    </xf>
    <xf numFmtId="0" fontId="25" fillId="0" borderId="22" xfId="0" applyFont="1" applyBorder="1" applyAlignment="1">
      <alignment horizontal="center" vertical="center"/>
    </xf>
    <xf numFmtId="0" fontId="25" fillId="0" borderId="52" xfId="0" applyFont="1" applyBorder="1" applyAlignment="1">
      <alignment horizontal="center" vertical="center"/>
    </xf>
    <xf numFmtId="0" fontId="44" fillId="0" borderId="15" xfId="0" applyFont="1" applyBorder="1" applyAlignment="1">
      <alignment horizontal="center" vertical="center" wrapText="1"/>
    </xf>
    <xf numFmtId="0" fontId="44" fillId="0" borderId="12" xfId="0" applyFont="1" applyBorder="1" applyAlignment="1">
      <alignment horizontal="center" vertical="center" wrapText="1"/>
    </xf>
    <xf numFmtId="3" fontId="44" fillId="0" borderId="15" xfId="0" applyNumberFormat="1" applyFont="1" applyBorder="1" applyAlignment="1">
      <alignment horizontal="center" vertical="center" wrapText="1"/>
    </xf>
    <xf numFmtId="3" fontId="44" fillId="0" borderId="12" xfId="0" applyNumberFormat="1" applyFont="1" applyBorder="1" applyAlignment="1">
      <alignment horizontal="center" vertical="center" wrapText="1"/>
    </xf>
    <xf numFmtId="0" fontId="7" fillId="0" borderId="16" xfId="0" applyFont="1" applyBorder="1" applyAlignment="1">
      <alignment horizontal="center" vertical="center"/>
    </xf>
    <xf numFmtId="0" fontId="7" fillId="0" borderId="7" xfId="0" applyFont="1" applyBorder="1" applyAlignment="1">
      <alignment horizontal="center" vertical="center"/>
    </xf>
    <xf numFmtId="0" fontId="7" fillId="0" borderId="5" xfId="0" applyFont="1" applyBorder="1" applyAlignment="1">
      <alignment horizontal="center" vertical="center"/>
    </xf>
    <xf numFmtId="0" fontId="7" fillId="0" borderId="11" xfId="0" applyFont="1" applyBorder="1" applyAlignment="1">
      <alignment horizontal="center" vertical="center"/>
    </xf>
    <xf numFmtId="0" fontId="49" fillId="0" borderId="1" xfId="0" applyFont="1" applyBorder="1" applyAlignment="1">
      <alignment horizontal="center" vertical="center" wrapText="1"/>
    </xf>
    <xf numFmtId="0" fontId="49" fillId="0" borderId="2" xfId="0" applyFont="1" applyBorder="1" applyAlignment="1">
      <alignment horizontal="center" vertical="center" wrapText="1"/>
    </xf>
    <xf numFmtId="0" fontId="49" fillId="0" borderId="16" xfId="0" applyFont="1" applyBorder="1" applyAlignment="1">
      <alignment horizontal="center" vertical="center" wrapText="1"/>
    </xf>
    <xf numFmtId="0" fontId="49" fillId="0" borderId="17" xfId="0" applyFont="1" applyBorder="1" applyAlignment="1">
      <alignment horizontal="center" vertical="center" wrapText="1"/>
    </xf>
    <xf numFmtId="0" fontId="49" fillId="0" borderId="0" xfId="0" applyFont="1" applyBorder="1" applyAlignment="1">
      <alignment horizontal="center" vertical="center" wrapText="1"/>
    </xf>
    <xf numFmtId="0" fontId="49" fillId="0" borderId="14"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5" xfId="0" applyFont="1" applyBorder="1" applyAlignment="1">
      <alignment horizontal="center" vertical="center" wrapText="1"/>
    </xf>
    <xf numFmtId="0" fontId="49" fillId="0" borderId="11" xfId="0" applyFont="1" applyBorder="1" applyAlignment="1">
      <alignment horizontal="center" vertical="center" wrapText="1"/>
    </xf>
    <xf numFmtId="3" fontId="54" fillId="3" borderId="6" xfId="0" applyNumberFormat="1" applyFont="1" applyFill="1" applyBorder="1" applyAlignment="1">
      <alignment horizontal="center" vertical="center"/>
    </xf>
    <xf numFmtId="0" fontId="54" fillId="3" borderId="3" xfId="0" applyFont="1" applyFill="1" applyBorder="1" applyAlignment="1">
      <alignment horizontal="center" vertical="center"/>
    </xf>
    <xf numFmtId="0" fontId="54" fillId="3" borderId="33" xfId="0" applyFont="1" applyFill="1" applyBorder="1" applyAlignment="1">
      <alignment horizontal="center" vertical="center"/>
    </xf>
    <xf numFmtId="0" fontId="25" fillId="0" borderId="6" xfId="0" applyFont="1" applyBorder="1" applyAlignment="1">
      <alignment horizontal="left" vertical="center" wrapText="1"/>
    </xf>
    <xf numFmtId="0" fontId="25" fillId="0" borderId="3" xfId="0" applyFont="1" applyBorder="1" applyAlignment="1">
      <alignment horizontal="left" vertical="center" wrapText="1"/>
    </xf>
    <xf numFmtId="0" fontId="25" fillId="0" borderId="33" xfId="0" applyFont="1" applyBorder="1" applyAlignment="1">
      <alignment horizontal="left" vertical="center" wrapText="1"/>
    </xf>
    <xf numFmtId="3" fontId="25" fillId="0" borderId="6" xfId="0" applyNumberFormat="1" applyFont="1" applyBorder="1" applyAlignment="1">
      <alignment horizontal="center"/>
    </xf>
    <xf numFmtId="3" fontId="25" fillId="0" borderId="3" xfId="0" applyNumberFormat="1" applyFont="1" applyBorder="1" applyAlignment="1">
      <alignment horizontal="center"/>
    </xf>
    <xf numFmtId="3" fontId="25" fillId="0" borderId="33" xfId="0" applyNumberFormat="1" applyFont="1" applyBorder="1" applyAlignment="1">
      <alignment horizontal="center"/>
    </xf>
    <xf numFmtId="0" fontId="49" fillId="0" borderId="6" xfId="0" applyFont="1" applyBorder="1" applyAlignment="1">
      <alignment horizontal="center" vertical="center" wrapText="1"/>
    </xf>
    <xf numFmtId="0" fontId="49" fillId="0" borderId="3" xfId="0" applyFont="1" applyBorder="1" applyAlignment="1">
      <alignment horizontal="center" vertical="center" wrapText="1"/>
    </xf>
    <xf numFmtId="0" fontId="49" fillId="0" borderId="33" xfId="0" applyFont="1" applyBorder="1" applyAlignment="1">
      <alignment horizontal="center" vertical="center" wrapText="1"/>
    </xf>
    <xf numFmtId="0" fontId="14" fillId="0" borderId="0" xfId="0" applyFont="1" applyBorder="1" applyAlignment="1">
      <alignment horizontal="center" wrapText="1"/>
    </xf>
    <xf numFmtId="9" fontId="25" fillId="0" borderId="6" xfId="0" applyNumberFormat="1" applyFont="1" applyBorder="1" applyAlignment="1">
      <alignment horizontal="center" vertical="center" wrapText="1"/>
    </xf>
    <xf numFmtId="9" fontId="25" fillId="0" borderId="3" xfId="0" applyNumberFormat="1" applyFont="1" applyBorder="1" applyAlignment="1">
      <alignment horizontal="center" vertical="center" wrapText="1"/>
    </xf>
    <xf numFmtId="9" fontId="25" fillId="0" borderId="33" xfId="0" applyNumberFormat="1" applyFont="1" applyBorder="1" applyAlignment="1">
      <alignment horizontal="center" vertical="center" wrapText="1"/>
    </xf>
    <xf numFmtId="0" fontId="25" fillId="0" borderId="3" xfId="0" applyFont="1" applyBorder="1" applyAlignment="1">
      <alignment horizontal="center"/>
    </xf>
    <xf numFmtId="0" fontId="25" fillId="0" borderId="33" xfId="0" applyFont="1" applyBorder="1" applyAlignment="1">
      <alignment horizontal="center"/>
    </xf>
    <xf numFmtId="0" fontId="25" fillId="0" borderId="42" xfId="0" applyFont="1" applyBorder="1" applyAlignment="1">
      <alignment horizontal="left" vertical="center" wrapText="1"/>
    </xf>
    <xf numFmtId="0" fontId="25" fillId="0" borderId="65" xfId="0" applyFont="1" applyBorder="1" applyAlignment="1">
      <alignment horizontal="left" vertical="center" wrapText="1"/>
    </xf>
    <xf numFmtId="0" fontId="25" fillId="0" borderId="49" xfId="0" applyFont="1" applyBorder="1" applyAlignment="1">
      <alignment horizontal="left" vertical="center" wrapText="1"/>
    </xf>
    <xf numFmtId="0" fontId="25" fillId="0" borderId="54" xfId="0" applyFont="1" applyBorder="1" applyAlignment="1">
      <alignment horizontal="center" vertical="center" wrapText="1"/>
    </xf>
    <xf numFmtId="0" fontId="25" fillId="0" borderId="68" xfId="0" applyFont="1" applyBorder="1" applyAlignment="1">
      <alignment horizontal="center" vertical="center" wrapText="1"/>
    </xf>
    <xf numFmtId="0" fontId="25" fillId="0" borderId="69" xfId="0" applyFont="1" applyBorder="1" applyAlignment="1">
      <alignment horizontal="center" vertical="center" wrapText="1"/>
    </xf>
    <xf numFmtId="0" fontId="7" fillId="0" borderId="35" xfId="0" applyFont="1" applyBorder="1" applyAlignment="1">
      <alignment horizontal="left" vertical="center"/>
    </xf>
    <xf numFmtId="0" fontId="7" fillId="0" borderId="72" xfId="0" applyFont="1" applyBorder="1" applyAlignment="1">
      <alignment horizontal="left" vertical="center"/>
    </xf>
    <xf numFmtId="0" fontId="7" fillId="0" borderId="36" xfId="0" applyFont="1" applyBorder="1" applyAlignment="1">
      <alignment horizontal="left" vertical="center"/>
    </xf>
    <xf numFmtId="0" fontId="25" fillId="0" borderId="37" xfId="0" applyFont="1" applyBorder="1" applyAlignment="1">
      <alignment horizontal="center" wrapText="1"/>
    </xf>
    <xf numFmtId="0" fontId="25" fillId="0" borderId="30" xfId="0" applyFont="1" applyBorder="1" applyAlignment="1">
      <alignment horizontal="center" wrapText="1"/>
    </xf>
    <xf numFmtId="0" fontId="44" fillId="0" borderId="45" xfId="0" applyFont="1" applyBorder="1" applyAlignment="1">
      <alignment horizontal="center" vertical="center" wrapText="1"/>
    </xf>
    <xf numFmtId="0" fontId="44" fillId="0" borderId="46" xfId="0" applyFont="1" applyBorder="1" applyAlignment="1">
      <alignment horizontal="center" vertical="center" wrapText="1"/>
    </xf>
    <xf numFmtId="3" fontId="44" fillId="0" borderId="45" xfId="0" applyNumberFormat="1" applyFont="1" applyBorder="1" applyAlignment="1">
      <alignment horizontal="center" vertical="center" wrapText="1"/>
    </xf>
    <xf numFmtId="3" fontId="44" fillId="0" borderId="46" xfId="0" applyNumberFormat="1" applyFont="1" applyBorder="1" applyAlignment="1">
      <alignment horizontal="center" vertical="center" wrapText="1"/>
    </xf>
    <xf numFmtId="0" fontId="25" fillId="0" borderId="45" xfId="0" applyFont="1" applyBorder="1" applyAlignment="1">
      <alignment horizontal="center" vertical="center" wrapText="1"/>
    </xf>
    <xf numFmtId="0" fontId="25" fillId="0" borderId="46" xfId="0" applyFont="1" applyBorder="1" applyAlignment="1">
      <alignment horizontal="center" vertical="center" wrapText="1"/>
    </xf>
    <xf numFmtId="0" fontId="2" fillId="0" borderId="6" xfId="0" applyFont="1" applyBorder="1" applyAlignment="1">
      <alignment horizontal="left" vertical="top" wrapText="1"/>
    </xf>
    <xf numFmtId="0" fontId="2" fillId="0" borderId="3" xfId="0" applyFont="1" applyBorder="1" applyAlignment="1">
      <alignment horizontal="left" vertical="top" wrapText="1"/>
    </xf>
    <xf numFmtId="0" fontId="2" fillId="0" borderId="33" xfId="0" applyFont="1" applyBorder="1" applyAlignment="1">
      <alignment horizontal="left" vertical="top" wrapText="1"/>
    </xf>
    <xf numFmtId="0" fontId="8" fillId="0" borderId="17" xfId="0" applyFont="1" applyBorder="1" applyAlignment="1">
      <alignment horizontal="left"/>
    </xf>
    <xf numFmtId="0" fontId="8" fillId="0" borderId="0" xfId="0" applyFont="1" applyBorder="1" applyAlignment="1">
      <alignment horizontal="left"/>
    </xf>
    <xf numFmtId="0" fontId="8" fillId="0" borderId="14" xfId="0" applyFont="1" applyBorder="1" applyAlignment="1">
      <alignment horizontal="left"/>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16" xfId="0" applyFont="1" applyBorder="1" applyAlignment="1">
      <alignment horizontal="left" vertical="center" wrapText="1"/>
    </xf>
    <xf numFmtId="0" fontId="8" fillId="0" borderId="17"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Border="1" applyAlignment="1">
      <alignment horizontal="left" vertical="center" wrapText="1"/>
    </xf>
    <xf numFmtId="0" fontId="26" fillId="0" borderId="14" xfId="0" applyFont="1" applyBorder="1" applyAlignment="1">
      <alignment horizontal="left" vertical="center" wrapText="1"/>
    </xf>
    <xf numFmtId="0" fontId="9" fillId="0" borderId="17" xfId="0" applyFont="1" applyBorder="1" applyAlignment="1">
      <alignment horizontal="left" vertical="center" wrapText="1"/>
    </xf>
    <xf numFmtId="0" fontId="9" fillId="0" borderId="0" xfId="0" applyFont="1" applyBorder="1" applyAlignment="1">
      <alignment horizontal="left" vertical="center" wrapText="1"/>
    </xf>
    <xf numFmtId="0" fontId="9" fillId="0" borderId="14" xfId="0" applyFont="1" applyBorder="1" applyAlignment="1">
      <alignment horizontal="left" vertical="center" wrapText="1"/>
    </xf>
    <xf numFmtId="0" fontId="26" fillId="0" borderId="17" xfId="0" applyFont="1" applyBorder="1" applyAlignment="1">
      <alignment horizontal="center" vertical="center"/>
    </xf>
    <xf numFmtId="0" fontId="26" fillId="0" borderId="0" xfId="0" applyFont="1" applyBorder="1" applyAlignment="1">
      <alignment horizontal="center" vertical="center"/>
    </xf>
    <xf numFmtId="0" fontId="28" fillId="7" borderId="17" xfId="0" applyFont="1" applyFill="1" applyBorder="1" applyAlignment="1">
      <alignment horizontal="left" vertical="center" wrapText="1"/>
    </xf>
    <xf numFmtId="0" fontId="28" fillId="7" borderId="0" xfId="0" applyFont="1" applyFill="1" applyBorder="1" applyAlignment="1">
      <alignment horizontal="left" vertical="center" wrapText="1"/>
    </xf>
    <xf numFmtId="0" fontId="28" fillId="7" borderId="14" xfId="0" applyFont="1" applyFill="1" applyBorder="1" applyAlignment="1">
      <alignment horizontal="left" vertical="center" wrapText="1"/>
    </xf>
    <xf numFmtId="0" fontId="28" fillId="7" borderId="7" xfId="0" applyFont="1" applyFill="1" applyBorder="1" applyAlignment="1">
      <alignment horizontal="left" vertical="center" wrapText="1"/>
    </xf>
    <xf numFmtId="0" fontId="28" fillId="7" borderId="5" xfId="0" applyFont="1" applyFill="1" applyBorder="1" applyAlignment="1">
      <alignment horizontal="left" vertical="center" wrapText="1"/>
    </xf>
    <xf numFmtId="0" fontId="28" fillId="7" borderId="11" xfId="0" applyFont="1" applyFill="1" applyBorder="1" applyAlignment="1">
      <alignment horizontal="left" vertical="center" wrapText="1"/>
    </xf>
    <xf numFmtId="0" fontId="9" fillId="7" borderId="17" xfId="0" applyFont="1" applyFill="1" applyBorder="1" applyAlignment="1">
      <alignment horizontal="left" vertical="center"/>
    </xf>
    <xf numFmtId="0" fontId="9" fillId="7" borderId="0" xfId="0" applyFont="1" applyFill="1" applyBorder="1" applyAlignment="1">
      <alignment horizontal="left" vertical="center"/>
    </xf>
    <xf numFmtId="0" fontId="9" fillId="7" borderId="14" xfId="0" applyFont="1" applyFill="1" applyBorder="1" applyAlignment="1">
      <alignment horizontal="left" vertical="center"/>
    </xf>
    <xf numFmtId="0" fontId="28" fillId="7" borderId="17" xfId="0" applyFont="1" applyFill="1" applyBorder="1" applyAlignment="1">
      <alignment horizontal="left" vertical="center"/>
    </xf>
    <xf numFmtId="0" fontId="28" fillId="7" borderId="0" xfId="0" applyFont="1" applyFill="1" applyBorder="1" applyAlignment="1">
      <alignment horizontal="left" vertical="center"/>
    </xf>
    <xf numFmtId="0" fontId="28" fillId="7" borderId="14" xfId="0" applyFont="1" applyFill="1" applyBorder="1" applyAlignment="1">
      <alignment horizontal="left" vertical="center"/>
    </xf>
    <xf numFmtId="0" fontId="41" fillId="12" borderId="17" xfId="0" applyFont="1" applyFill="1" applyBorder="1" applyAlignment="1">
      <alignment horizontal="left" vertical="center"/>
    </xf>
    <xf numFmtId="0" fontId="41" fillId="12" borderId="0" xfId="0" applyFont="1" applyFill="1" applyBorder="1" applyAlignment="1">
      <alignment horizontal="left" vertical="center"/>
    </xf>
    <xf numFmtId="0" fontId="22" fillId="12" borderId="0" xfId="0" applyFont="1" applyFill="1" applyBorder="1" applyAlignment="1">
      <alignment horizontal="center" vertical="center"/>
    </xf>
    <xf numFmtId="166" fontId="20" fillId="4" borderId="1" xfId="0" applyNumberFormat="1" applyFont="1" applyFill="1" applyBorder="1" applyAlignment="1">
      <alignment horizontal="center" vertical="center" wrapText="1"/>
    </xf>
    <xf numFmtId="166" fontId="20" fillId="4" borderId="2" xfId="0" applyNumberFormat="1" applyFont="1" applyFill="1" applyBorder="1" applyAlignment="1">
      <alignment horizontal="center" vertical="center" wrapText="1"/>
    </xf>
    <xf numFmtId="166" fontId="20" fillId="4" borderId="16" xfId="0" applyNumberFormat="1" applyFont="1" applyFill="1" applyBorder="1" applyAlignment="1">
      <alignment horizontal="center" vertical="center" wrapText="1"/>
    </xf>
    <xf numFmtId="166" fontId="20" fillId="4" borderId="7" xfId="0" applyNumberFormat="1" applyFont="1" applyFill="1" applyBorder="1" applyAlignment="1">
      <alignment horizontal="center" vertical="center" wrapText="1"/>
    </xf>
    <xf numFmtId="166" fontId="20" fillId="4" borderId="5" xfId="0" applyNumberFormat="1" applyFont="1" applyFill="1" applyBorder="1" applyAlignment="1">
      <alignment horizontal="center" vertical="center" wrapText="1"/>
    </xf>
    <xf numFmtId="166" fontId="20" fillId="4" borderId="11" xfId="0" applyNumberFormat="1"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33" xfId="0" applyFont="1" applyFill="1" applyBorder="1" applyAlignment="1">
      <alignment horizontal="center" vertical="center" wrapText="1"/>
    </xf>
    <xf numFmtId="0" fontId="7" fillId="4" borderId="6" xfId="0" applyFont="1" applyFill="1" applyBorder="1" applyAlignment="1">
      <alignment horizontal="left" vertical="center" wrapText="1"/>
    </xf>
    <xf numFmtId="0" fontId="7" fillId="4" borderId="3" xfId="0" applyFont="1" applyFill="1" applyBorder="1" applyAlignment="1">
      <alignment horizontal="left" vertical="center" wrapText="1"/>
    </xf>
    <xf numFmtId="0" fontId="7" fillId="4" borderId="33" xfId="0" applyFont="1" applyFill="1" applyBorder="1" applyAlignment="1">
      <alignment horizontal="left" vertical="center" wrapText="1"/>
    </xf>
    <xf numFmtId="0" fontId="15" fillId="4" borderId="61"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14" fillId="2" borderId="39" xfId="0" applyFont="1" applyFill="1" applyBorder="1" applyAlignment="1">
      <alignment horizontal="center" vertical="center" wrapText="1"/>
    </xf>
    <xf numFmtId="0" fontId="14" fillId="2" borderId="56" xfId="0" applyFont="1" applyFill="1" applyBorder="1" applyAlignment="1">
      <alignment horizontal="center" vertical="center" wrapText="1"/>
    </xf>
    <xf numFmtId="0" fontId="14" fillId="2" borderId="59" xfId="0" applyFont="1" applyFill="1" applyBorder="1" applyAlignment="1">
      <alignment horizontal="center" vertical="center" wrapText="1"/>
    </xf>
    <xf numFmtId="0" fontId="14" fillId="2" borderId="1" xfId="0" applyFont="1" applyFill="1" applyBorder="1" applyAlignment="1">
      <alignment horizontal="center" vertical="center"/>
    </xf>
    <xf numFmtId="0" fontId="14" fillId="2" borderId="17"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39" xfId="0" applyFont="1" applyFill="1" applyBorder="1" applyAlignment="1">
      <alignment horizontal="center" vertical="center"/>
    </xf>
    <xf numFmtId="0" fontId="14" fillId="2" borderId="56" xfId="0" applyFont="1" applyFill="1" applyBorder="1" applyAlignment="1">
      <alignment horizontal="center" vertical="center"/>
    </xf>
    <xf numFmtId="0" fontId="14" fillId="2" borderId="59" xfId="0" applyFont="1" applyFill="1" applyBorder="1" applyAlignment="1">
      <alignment horizontal="center" vertical="center"/>
    </xf>
    <xf numFmtId="0" fontId="14" fillId="2" borderId="29" xfId="0" applyFont="1" applyFill="1" applyBorder="1" applyAlignment="1">
      <alignment horizontal="center" vertical="center"/>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49" fillId="0" borderId="18" xfId="0" applyFont="1" applyBorder="1" applyAlignment="1">
      <alignment horizontal="center" vertical="center" wrapText="1"/>
    </xf>
    <xf numFmtId="0" fontId="49" fillId="0" borderId="4" xfId="0" applyFont="1" applyBorder="1" applyAlignment="1">
      <alignment horizontal="center" vertical="center" wrapText="1"/>
    </xf>
    <xf numFmtId="0" fontId="49" fillId="0" borderId="19" xfId="0" applyFont="1" applyBorder="1" applyAlignment="1">
      <alignment horizontal="center" vertical="center" wrapText="1"/>
    </xf>
    <xf numFmtId="0" fontId="7" fillId="3" borderId="49" xfId="0" applyFont="1" applyFill="1" applyBorder="1" applyAlignment="1">
      <alignment horizontal="center" vertical="center" wrapText="1"/>
    </xf>
    <xf numFmtId="0" fontId="7" fillId="3" borderId="71" xfId="0" applyFont="1" applyFill="1" applyBorder="1" applyAlignment="1">
      <alignment horizontal="center" vertical="center" wrapText="1"/>
    </xf>
    <xf numFmtId="0" fontId="7" fillId="3" borderId="36" xfId="0" applyFont="1" applyFill="1" applyBorder="1" applyAlignment="1">
      <alignment horizontal="center" vertical="center" wrapText="1"/>
    </xf>
    <xf numFmtId="0" fontId="2" fillId="0" borderId="7" xfId="0" applyFont="1" applyBorder="1" applyAlignment="1">
      <alignment horizontal="left"/>
    </xf>
    <xf numFmtId="0" fontId="8" fillId="0" borderId="5" xfId="0" applyFont="1" applyBorder="1" applyAlignment="1">
      <alignment horizontal="left"/>
    </xf>
    <xf numFmtId="0" fontId="8" fillId="0" borderId="11" xfId="0" applyFont="1" applyBorder="1" applyAlignment="1">
      <alignment horizontal="left"/>
    </xf>
    <xf numFmtId="3" fontId="7" fillId="0" borderId="42" xfId="0" applyNumberFormat="1" applyFont="1" applyBorder="1" applyAlignment="1">
      <alignment horizontal="center" vertical="center"/>
    </xf>
    <xf numFmtId="3" fontId="7" fillId="0" borderId="44" xfId="0" applyNumberFormat="1" applyFont="1" applyBorder="1" applyAlignment="1">
      <alignment horizontal="center" vertical="center"/>
    </xf>
    <xf numFmtId="3" fontId="7" fillId="0" borderId="35" xfId="0" applyNumberFormat="1" applyFont="1" applyBorder="1" applyAlignment="1">
      <alignment horizontal="center" vertical="center"/>
    </xf>
    <xf numFmtId="3" fontId="7" fillId="0" borderId="45" xfId="0" applyNumberFormat="1" applyFont="1" applyBorder="1" applyAlignment="1">
      <alignment horizontal="center" vertical="center"/>
    </xf>
    <xf numFmtId="3" fontId="7" fillId="0" borderId="46" xfId="0" applyNumberFormat="1" applyFont="1" applyBorder="1" applyAlignment="1">
      <alignment horizontal="center" vertical="center"/>
    </xf>
    <xf numFmtId="3" fontId="7" fillId="0" borderId="34" xfId="0" applyNumberFormat="1" applyFont="1" applyBorder="1" applyAlignment="1">
      <alignment horizontal="center" vertical="center"/>
    </xf>
    <xf numFmtId="0" fontId="7" fillId="0" borderId="42" xfId="0" applyFont="1" applyBorder="1" applyAlignment="1">
      <alignment horizontal="center" vertical="center"/>
    </xf>
    <xf numFmtId="0" fontId="7" fillId="0" borderId="44" xfId="0" applyFont="1" applyBorder="1" applyAlignment="1">
      <alignment horizontal="center" vertical="center"/>
    </xf>
    <xf numFmtId="0" fontId="7" fillId="0" borderId="35" xfId="0" applyFont="1" applyBorder="1" applyAlignment="1">
      <alignment horizontal="center" vertical="center"/>
    </xf>
    <xf numFmtId="0" fontId="0" fillId="0" borderId="3" xfId="0" applyBorder="1" applyAlignment="1">
      <alignment horizontal="center"/>
    </xf>
    <xf numFmtId="0" fontId="0" fillId="0" borderId="33" xfId="0" applyBorder="1" applyAlignment="1">
      <alignment horizont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16" xfId="0" applyFont="1" applyBorder="1" applyAlignment="1">
      <alignment horizontal="left" vertical="center" wrapText="1"/>
    </xf>
    <xf numFmtId="0" fontId="9" fillId="0" borderId="17" xfId="0" applyFont="1" applyBorder="1" applyAlignment="1">
      <alignment horizontal="left" vertical="center"/>
    </xf>
    <xf numFmtId="0" fontId="9" fillId="0" borderId="0" xfId="0" applyFont="1" applyBorder="1" applyAlignment="1">
      <alignment horizontal="left" vertical="center"/>
    </xf>
    <xf numFmtId="0" fontId="9" fillId="0" borderId="14" xfId="0" applyFont="1" applyBorder="1" applyAlignment="1">
      <alignment horizontal="left" vertical="center"/>
    </xf>
    <xf numFmtId="3" fontId="0" fillId="0" borderId="0" xfId="0" applyNumberFormat="1" applyBorder="1" applyAlignment="1">
      <alignment horizontal="center" vertical="center" wrapText="1"/>
    </xf>
    <xf numFmtId="3" fontId="7" fillId="0" borderId="27" xfId="0" applyNumberFormat="1" applyFont="1" applyBorder="1" applyAlignment="1">
      <alignment horizontal="center" vertical="center" wrapText="1"/>
    </xf>
    <xf numFmtId="3" fontId="7" fillId="0" borderId="4" xfId="0" applyNumberFormat="1" applyFont="1" applyBorder="1" applyAlignment="1">
      <alignment horizontal="center" vertical="center" wrapText="1"/>
    </xf>
    <xf numFmtId="3" fontId="17" fillId="11" borderId="1" xfId="0" applyNumberFormat="1" applyFont="1" applyFill="1" applyBorder="1" applyAlignment="1">
      <alignment horizontal="center" vertical="center" wrapText="1"/>
    </xf>
    <xf numFmtId="3" fontId="17" fillId="11" borderId="2" xfId="0" applyNumberFormat="1" applyFont="1" applyFill="1" applyBorder="1" applyAlignment="1">
      <alignment horizontal="center" vertical="center" wrapText="1"/>
    </xf>
    <xf numFmtId="3" fontId="17" fillId="11" borderId="16" xfId="0" applyNumberFormat="1" applyFont="1" applyFill="1" applyBorder="1" applyAlignment="1">
      <alignment horizontal="center" vertical="center" wrapText="1"/>
    </xf>
    <xf numFmtId="3" fontId="17" fillId="11" borderId="17" xfId="0" applyNumberFormat="1" applyFont="1" applyFill="1" applyBorder="1" applyAlignment="1">
      <alignment horizontal="center" vertical="center" wrapText="1"/>
    </xf>
    <xf numFmtId="3" fontId="17" fillId="11" borderId="0" xfId="0" applyNumberFormat="1" applyFont="1" applyFill="1" applyBorder="1" applyAlignment="1">
      <alignment horizontal="center" vertical="center" wrapText="1"/>
    </xf>
    <xf numFmtId="3" fontId="17" fillId="11" borderId="14" xfId="0" applyNumberFormat="1" applyFont="1" applyFill="1" applyBorder="1" applyAlignment="1">
      <alignment horizontal="center" vertical="center" wrapText="1"/>
    </xf>
    <xf numFmtId="3" fontId="17" fillId="11" borderId="7" xfId="0" applyNumberFormat="1" applyFont="1" applyFill="1" applyBorder="1" applyAlignment="1">
      <alignment horizontal="center" vertical="center" wrapText="1"/>
    </xf>
    <xf numFmtId="3" fontId="17" fillId="11" borderId="5" xfId="0" applyNumberFormat="1" applyFont="1" applyFill="1" applyBorder="1" applyAlignment="1">
      <alignment horizontal="center" vertical="center" wrapText="1"/>
    </xf>
    <xf numFmtId="3" fontId="17" fillId="11" borderId="11" xfId="0" applyNumberFormat="1" applyFont="1" applyFill="1" applyBorder="1" applyAlignment="1">
      <alignment horizontal="center" vertical="center" wrapText="1"/>
    </xf>
    <xf numFmtId="0" fontId="17" fillId="3" borderId="6" xfId="0" applyFont="1" applyFill="1" applyBorder="1" applyAlignment="1">
      <alignment horizontal="left" vertical="center"/>
    </xf>
    <xf numFmtId="0" fontId="17" fillId="3" borderId="3" xfId="0" applyFont="1" applyFill="1" applyBorder="1" applyAlignment="1">
      <alignment horizontal="left" vertical="center"/>
    </xf>
    <xf numFmtId="0" fontId="17" fillId="3" borderId="33" xfId="0" applyFont="1" applyFill="1" applyBorder="1" applyAlignment="1">
      <alignment horizontal="left" vertical="center"/>
    </xf>
    <xf numFmtId="0" fontId="17" fillId="3" borderId="6" xfId="0" applyFont="1" applyFill="1" applyBorder="1" applyAlignment="1">
      <alignment horizontal="center" vertical="center"/>
    </xf>
    <xf numFmtId="0" fontId="17" fillId="3" borderId="3" xfId="0" applyFont="1" applyFill="1" applyBorder="1" applyAlignment="1">
      <alignment horizontal="center" vertical="center"/>
    </xf>
    <xf numFmtId="0" fontId="17" fillId="3" borderId="33" xfId="0" applyFont="1" applyFill="1" applyBorder="1" applyAlignment="1">
      <alignment horizontal="center" vertical="center"/>
    </xf>
    <xf numFmtId="0" fontId="2" fillId="0" borderId="7" xfId="0" applyFont="1" applyBorder="1" applyAlignment="1">
      <alignment horizontal="left" vertical="center" wrapText="1"/>
    </xf>
    <xf numFmtId="0" fontId="2" fillId="0" borderId="5" xfId="0" applyFont="1" applyBorder="1" applyAlignment="1">
      <alignment horizontal="left" vertical="center" wrapText="1"/>
    </xf>
    <xf numFmtId="0" fontId="2" fillId="0" borderId="11" xfId="0" applyFont="1" applyBorder="1" applyAlignment="1">
      <alignment horizontal="left" vertical="center" wrapText="1"/>
    </xf>
    <xf numFmtId="0" fontId="2" fillId="3" borderId="6" xfId="0" applyFont="1" applyFill="1" applyBorder="1" applyAlignment="1">
      <alignment horizontal="left" vertical="center" wrapText="1"/>
    </xf>
    <xf numFmtId="0" fontId="8" fillId="3" borderId="3" xfId="0" applyFont="1" applyFill="1" applyBorder="1" applyAlignment="1">
      <alignment horizontal="left" vertical="center" wrapText="1"/>
    </xf>
    <xf numFmtId="0" fontId="8" fillId="3" borderId="33" xfId="0" applyFont="1" applyFill="1" applyBorder="1" applyAlignment="1">
      <alignment horizontal="left" vertical="center" wrapText="1"/>
    </xf>
    <xf numFmtId="0" fontId="2" fillId="0" borderId="0" xfId="0" applyFont="1" applyBorder="1" applyAlignment="1">
      <alignment horizontal="left" vertical="center" wrapText="1"/>
    </xf>
    <xf numFmtId="0" fontId="2" fillId="0" borderId="14"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6" xfId="0" applyFont="1" applyBorder="1" applyAlignment="1">
      <alignment horizontal="left" vertical="center" wrapText="1"/>
    </xf>
    <xf numFmtId="0" fontId="2" fillId="0" borderId="0" xfId="0" applyFont="1" applyBorder="1" applyAlignment="1">
      <alignment horizontal="left" vertical="center"/>
    </xf>
    <xf numFmtId="0" fontId="2" fillId="0" borderId="14" xfId="0" applyFont="1" applyBorder="1" applyAlignment="1">
      <alignment horizontal="left" vertical="center"/>
    </xf>
    <xf numFmtId="0" fontId="9" fillId="0" borderId="1" xfId="0" applyFont="1" applyBorder="1" applyAlignment="1">
      <alignment horizontal="left" vertical="center"/>
    </xf>
    <xf numFmtId="0" fontId="9" fillId="0" borderId="2" xfId="0" applyFont="1" applyBorder="1" applyAlignment="1">
      <alignment horizontal="left" vertical="center"/>
    </xf>
    <xf numFmtId="0" fontId="22" fillId="3" borderId="6"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22" fillId="3" borderId="33" xfId="0" applyFont="1" applyFill="1" applyBorder="1" applyAlignment="1">
      <alignment horizontal="center" vertical="center" wrapText="1"/>
    </xf>
    <xf numFmtId="0" fontId="2" fillId="0" borderId="17" xfId="0" applyFont="1" applyBorder="1" applyAlignment="1">
      <alignment vertical="center" wrapText="1"/>
    </xf>
    <xf numFmtId="0" fontId="2" fillId="0" borderId="0" xfId="0" applyFont="1" applyBorder="1" applyAlignment="1">
      <alignment vertical="center" wrapText="1"/>
    </xf>
    <xf numFmtId="0" fontId="2" fillId="0" borderId="14" xfId="0" applyFont="1" applyBorder="1" applyAlignment="1">
      <alignment vertical="center" wrapText="1"/>
    </xf>
    <xf numFmtId="0" fontId="8" fillId="0" borderId="7" xfId="0" applyFont="1" applyBorder="1" applyAlignment="1">
      <alignment horizontal="left" vertical="center"/>
    </xf>
    <xf numFmtId="0" fontId="8" fillId="0" borderId="5" xfId="0" applyFont="1" applyBorder="1" applyAlignment="1">
      <alignment horizontal="left" vertical="center"/>
    </xf>
    <xf numFmtId="3" fontId="47" fillId="0" borderId="0" xfId="0" applyNumberFormat="1" applyFont="1" applyBorder="1" applyAlignment="1">
      <alignment horizontal="center" vertical="center" wrapText="1"/>
    </xf>
    <xf numFmtId="3" fontId="0" fillId="0" borderId="0" xfId="0" applyNumberFormat="1" applyBorder="1" applyAlignment="1">
      <alignment horizontal="center"/>
    </xf>
    <xf numFmtId="0" fontId="8" fillId="3" borderId="1" xfId="0" applyFont="1" applyFill="1" applyBorder="1" applyAlignment="1">
      <alignment horizontal="left" vertical="center" wrapText="1"/>
    </xf>
    <xf numFmtId="0" fontId="8" fillId="3" borderId="2" xfId="0" applyFont="1" applyFill="1" applyBorder="1" applyAlignment="1">
      <alignment horizontal="left" vertical="center" wrapText="1"/>
    </xf>
    <xf numFmtId="0" fontId="8" fillId="3" borderId="16" xfId="0" applyFont="1" applyFill="1" applyBorder="1" applyAlignment="1">
      <alignment horizontal="left" vertical="center" wrapText="1"/>
    </xf>
    <xf numFmtId="0" fontId="0" fillId="3" borderId="7" xfId="0" applyFill="1" applyBorder="1" applyAlignment="1">
      <alignment horizontal="left" vertical="center"/>
    </xf>
    <xf numFmtId="0" fontId="0" fillId="3" borderId="5" xfId="0" applyFill="1" applyBorder="1" applyAlignment="1">
      <alignment horizontal="left" vertical="center"/>
    </xf>
    <xf numFmtId="0" fontId="0" fillId="3" borderId="11" xfId="0" applyFill="1" applyBorder="1" applyAlignment="1">
      <alignment horizontal="left" vertical="center"/>
    </xf>
    <xf numFmtId="0" fontId="2" fillId="0" borderId="7" xfId="0" applyFont="1" applyBorder="1" applyAlignment="1">
      <alignment horizontal="left" vertical="center"/>
    </xf>
    <xf numFmtId="0" fontId="2" fillId="0" borderId="5" xfId="0" applyFont="1" applyBorder="1" applyAlignment="1">
      <alignment horizontal="left" vertical="center"/>
    </xf>
    <xf numFmtId="0" fontId="2" fillId="0" borderId="11" xfId="0" applyFont="1" applyBorder="1" applyAlignment="1">
      <alignment horizontal="left" vertical="center"/>
    </xf>
    <xf numFmtId="0" fontId="21" fillId="3" borderId="6" xfId="0" applyFont="1" applyFill="1" applyBorder="1" applyAlignment="1">
      <alignment horizontal="left" vertical="center"/>
    </xf>
    <xf numFmtId="0" fontId="21" fillId="3" borderId="3" xfId="0" applyFont="1" applyFill="1" applyBorder="1" applyAlignment="1">
      <alignment horizontal="left" vertical="center"/>
    </xf>
    <xf numFmtId="0" fontId="21" fillId="3" borderId="33" xfId="0" applyFont="1" applyFill="1" applyBorder="1" applyAlignment="1">
      <alignment horizontal="left" vertical="center"/>
    </xf>
    <xf numFmtId="3" fontId="17" fillId="11" borderId="1" xfId="0" applyNumberFormat="1" applyFont="1" applyFill="1" applyBorder="1" applyAlignment="1">
      <alignment horizontal="center" wrapText="1"/>
    </xf>
    <xf numFmtId="3" fontId="17" fillId="11" borderId="2" xfId="0" applyNumberFormat="1" applyFont="1" applyFill="1" applyBorder="1" applyAlignment="1">
      <alignment horizontal="center" wrapText="1"/>
    </xf>
    <xf numFmtId="3" fontId="17" fillId="11" borderId="16" xfId="0" applyNumberFormat="1" applyFont="1" applyFill="1" applyBorder="1" applyAlignment="1">
      <alignment horizontal="center" wrapText="1"/>
    </xf>
    <xf numFmtId="3" fontId="17" fillId="11" borderId="17" xfId="0" applyNumberFormat="1" applyFont="1" applyFill="1" applyBorder="1" applyAlignment="1">
      <alignment horizontal="center" vertical="top" wrapText="1"/>
    </xf>
    <xf numFmtId="3" fontId="17" fillId="11" borderId="0" xfId="0" applyNumberFormat="1" applyFont="1" applyFill="1" applyBorder="1" applyAlignment="1">
      <alignment horizontal="center" vertical="top" wrapText="1"/>
    </xf>
    <xf numFmtId="3" fontId="17" fillId="11" borderId="14" xfId="0" applyNumberFormat="1" applyFont="1" applyFill="1" applyBorder="1" applyAlignment="1">
      <alignment horizontal="center" vertical="top" wrapText="1"/>
    </xf>
    <xf numFmtId="3" fontId="17" fillId="11" borderId="7" xfId="0" applyNumberFormat="1" applyFont="1" applyFill="1" applyBorder="1" applyAlignment="1">
      <alignment horizontal="center" vertical="top" wrapText="1"/>
    </xf>
    <xf numFmtId="3" fontId="17" fillId="11" borderId="5" xfId="0" applyNumberFormat="1" applyFont="1" applyFill="1" applyBorder="1" applyAlignment="1">
      <alignment horizontal="center" vertical="top" wrapText="1"/>
    </xf>
    <xf numFmtId="3" fontId="17" fillId="11" borderId="11" xfId="0" applyNumberFormat="1" applyFont="1" applyFill="1" applyBorder="1" applyAlignment="1">
      <alignment horizontal="center" vertical="top" wrapText="1"/>
    </xf>
  </cellXfs>
  <cellStyles count="3">
    <cellStyle name="Milliers" xfId="1" builtinId="3"/>
    <cellStyle name="Normal" xfId="0" builtinId="0"/>
    <cellStyle name="Pourcentage" xfId="2"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lang val="fr-FR"/>
  <c:chart>
    <c:title>
      <c:tx>
        <c:rich>
          <a:bodyPr rot="0" spcFirstLastPara="1" vertOverflow="ellipsis" vert="horz" wrap="square" anchor="ctr" anchorCtr="1"/>
          <a:lstStyle/>
          <a:p>
            <a:pPr>
              <a:defRPr lang="de-DE" sz="1400" b="0" i="0" u="none" strike="noStrike" kern="1200" spc="0" baseline="0">
                <a:solidFill>
                  <a:schemeClr val="tx1">
                    <a:lumMod val="65000"/>
                    <a:lumOff val="35000"/>
                  </a:schemeClr>
                </a:solidFill>
                <a:latin typeface="+mn-lt"/>
                <a:ea typeface="+mn-ea"/>
                <a:cs typeface="+mn-cs"/>
              </a:defRPr>
            </a:pPr>
            <a:r>
              <a:rPr lang="en-US"/>
              <a:t>Couverture du cout économique du Projet par les Avantages</a:t>
            </a:r>
            <a:r>
              <a:rPr lang="en-US" baseline="0"/>
              <a:t> procurés</a:t>
            </a:r>
            <a:r>
              <a:rPr lang="en-US"/>
              <a:t> </a:t>
            </a:r>
          </a:p>
        </c:rich>
      </c:tx>
      <c:spPr>
        <a:noFill/>
        <a:ln>
          <a:noFill/>
        </a:ln>
        <a:effectLst/>
      </c:spPr>
    </c:title>
    <c:plotArea>
      <c:layout>
        <c:manualLayout>
          <c:layoutTarget val="inner"/>
          <c:xMode val="edge"/>
          <c:yMode val="edge"/>
          <c:x val="0.11734181196783097"/>
          <c:y val="0.2285513521859199"/>
          <c:w val="0.88333552055992959"/>
          <c:h val="0.59233741615631352"/>
        </c:manualLayout>
      </c:layout>
      <c:lineChart>
        <c:grouping val="standard"/>
        <c:ser>
          <c:idx val="0"/>
          <c:order val="0"/>
          <c:tx>
            <c:strRef>
              <c:f>'4-Résultat Disposition à payer '!$J$7</c:f>
              <c:strCache>
                <c:ptCount val="1"/>
                <c:pt idx="0">
                  <c:v>Cout Economique du Projet</c:v>
                </c:pt>
              </c:strCache>
            </c:strRef>
          </c:tx>
          <c:spPr>
            <a:ln w="28575" cap="rnd">
              <a:solidFill>
                <a:schemeClr val="accent1"/>
              </a:solidFill>
              <a:round/>
            </a:ln>
            <a:effectLst/>
          </c:spPr>
          <c:marker>
            <c:symbol val="none"/>
          </c:marker>
          <c:cat>
            <c:numRef>
              <c:f>'4-Résultat Disposition à payer '!$I$8:$I$32</c:f>
              <c:numCache>
                <c:formatCode>General</c:formatCode>
                <c:ptCount val="25"/>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numCache>
            </c:numRef>
          </c:cat>
          <c:val>
            <c:numRef>
              <c:f>'4-Résultat Disposition à payer '!$J$8:$J$32</c:f>
              <c:numCache>
                <c:formatCode>#,##0</c:formatCode>
                <c:ptCount val="25"/>
                <c:pt idx="2">
                  <c:v>361429.24877093034</c:v>
                </c:pt>
                <c:pt idx="3">
                  <c:v>788834.05637796409</c:v>
                </c:pt>
                <c:pt idx="4">
                  <c:v>244013.12416732311</c:v>
                </c:pt>
                <c:pt idx="5">
                  <c:v>96205.073622819007</c:v>
                </c:pt>
                <c:pt idx="6">
                  <c:v>96832.49801601129</c:v>
                </c:pt>
                <c:pt idx="7">
                  <c:v>97491.293628863205</c:v>
                </c:pt>
                <c:pt idx="8">
                  <c:v>98183.029022357718</c:v>
                </c:pt>
                <c:pt idx="9">
                  <c:v>174669.42473552696</c:v>
                </c:pt>
                <c:pt idx="10">
                  <c:v>99671.989456854644</c:v>
                </c:pt>
                <c:pt idx="11">
                  <c:v>100472.75964174874</c:v>
                </c:pt>
                <c:pt idx="12">
                  <c:v>101313.56833588751</c:v>
                </c:pt>
                <c:pt idx="13">
                  <c:v>102196.41746473324</c:v>
                </c:pt>
                <c:pt idx="14">
                  <c:v>283568.44645732199</c:v>
                </c:pt>
                <c:pt idx="15">
                  <c:v>104096.75021457367</c:v>
                </c:pt>
                <c:pt idx="16">
                  <c:v>105118.7584373537</c:v>
                </c:pt>
                <c:pt idx="17">
                  <c:v>106191.86707127272</c:v>
                </c:pt>
                <c:pt idx="18">
                  <c:v>107318.63113688771</c:v>
                </c:pt>
                <c:pt idx="19">
                  <c:v>231906.91013564225</c:v>
                </c:pt>
                <c:pt idx="20">
                  <c:v>109743.99078812398</c:v>
                </c:pt>
                <c:pt idx="21">
                  <c:v>111048.3610395815</c:v>
                </c:pt>
                <c:pt idx="22">
                  <c:v>112417.94980361193</c:v>
                </c:pt>
                <c:pt idx="23">
                  <c:v>113856.01800584389</c:v>
                </c:pt>
                <c:pt idx="24">
                  <c:v>115365.98961818742</c:v>
                </c:pt>
              </c:numCache>
            </c:numRef>
          </c:val>
          <c:extLst xmlns:c16r2="http://schemas.microsoft.com/office/drawing/2015/06/chart">
            <c:ext xmlns:c16="http://schemas.microsoft.com/office/drawing/2014/chart" uri="{C3380CC4-5D6E-409C-BE32-E72D297353CC}">
              <c16:uniqueId val="{00000000-3BD8-9A42-A398-C009B886E5D5}"/>
            </c:ext>
          </c:extLst>
        </c:ser>
        <c:ser>
          <c:idx val="1"/>
          <c:order val="1"/>
          <c:tx>
            <c:strRef>
              <c:f>'4-Résultat Disposition à payer '!$L$7</c:f>
              <c:strCache>
                <c:ptCount val="1"/>
                <c:pt idx="0">
                  <c:v>Avantage économique du projet </c:v>
                </c:pt>
              </c:strCache>
            </c:strRef>
          </c:tx>
          <c:spPr>
            <a:ln w="28575" cap="rnd">
              <a:solidFill>
                <a:schemeClr val="accent2"/>
              </a:solidFill>
              <a:round/>
            </a:ln>
            <a:effectLst/>
          </c:spPr>
          <c:marker>
            <c:symbol val="none"/>
          </c:marker>
          <c:cat>
            <c:numRef>
              <c:f>'4-Résultat Disposition à payer '!$I$8:$I$32</c:f>
              <c:numCache>
                <c:formatCode>General</c:formatCode>
                <c:ptCount val="25"/>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numCache>
            </c:numRef>
          </c:cat>
          <c:val>
            <c:numRef>
              <c:f>'4-Résultat Disposition à payer '!$L$8:$L$32</c:f>
              <c:numCache>
                <c:formatCode>#,##0</c:formatCode>
                <c:ptCount val="25"/>
                <c:pt idx="2">
                  <c:v>-361429.24877093034</c:v>
                </c:pt>
                <c:pt idx="3">
                  <c:v>-788834.05637796409</c:v>
                </c:pt>
                <c:pt idx="4">
                  <c:v>-244013.12416732311</c:v>
                </c:pt>
                <c:pt idx="5">
                  <c:v>140044.92637718099</c:v>
                </c:pt>
                <c:pt idx="6">
                  <c:v>160494.37698398874</c:v>
                </c:pt>
                <c:pt idx="7">
                  <c:v>182604.70668363685</c:v>
                </c:pt>
                <c:pt idx="8">
                  <c:v>206503.40523186111</c:v>
                </c:pt>
                <c:pt idx="9">
                  <c:v>156567.37888561143</c:v>
                </c:pt>
                <c:pt idx="10">
                  <c:v>260224.01203659107</c:v>
                </c:pt>
                <c:pt idx="11">
                  <c:v>290351.1757820301</c:v>
                </c:pt>
                <c:pt idx="12">
                  <c:v>322878.76128828363</c:v>
                </c:pt>
                <c:pt idx="13">
                  <c:v>357989.16756078938</c:v>
                </c:pt>
                <c:pt idx="14">
                  <c:v>215433.25490295864</c:v>
                </c:pt>
                <c:pt idx="15">
                  <c:v>436756.51550103957</c:v>
                </c:pt>
                <c:pt idx="16">
                  <c:v>480849.75388474384</c:v>
                </c:pt>
                <c:pt idx="17">
                  <c:v>528400.59161207022</c:v>
                </c:pt>
                <c:pt idx="18">
                  <c:v>579669.49237972929</c:v>
                </c:pt>
                <c:pt idx="19">
                  <c:v>511530.92222954857</c:v>
                </c:pt>
                <c:pt idx="20">
                  <c:v>694500.62637347914</c:v>
                </c:pt>
                <c:pt idx="21">
                  <c:v>758685.35542976041</c:v>
                </c:pt>
                <c:pt idx="22">
                  <c:v>827836.23380707926</c:v>
                </c:pt>
                <c:pt idx="23">
                  <c:v>902324.59239710995</c:v>
                </c:pt>
                <c:pt idx="24">
                  <c:v>982548.98515817325</c:v>
                </c:pt>
              </c:numCache>
            </c:numRef>
          </c:val>
          <c:extLst xmlns:c16r2="http://schemas.microsoft.com/office/drawing/2015/06/chart">
            <c:ext xmlns:c16="http://schemas.microsoft.com/office/drawing/2014/chart" uri="{C3380CC4-5D6E-409C-BE32-E72D297353CC}">
              <c16:uniqueId val="{00000001-3BD8-9A42-A398-C009B886E5D5}"/>
            </c:ext>
          </c:extLst>
        </c:ser>
        <c:dLbls/>
        <c:marker val="1"/>
        <c:axId val="172544000"/>
        <c:axId val="172545536"/>
      </c:lineChart>
      <c:catAx>
        <c:axId val="172544000"/>
        <c:scaling>
          <c:orientation val="minMax"/>
        </c:scaling>
        <c:axPos val="b"/>
        <c:numFmt formatCode="General" sourceLinked="1"/>
        <c:majorTickMark val="none"/>
        <c:tickLblPos val="nextTo"/>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lang="de-DE" sz="900" b="0" i="0" u="none" strike="noStrike" kern="1200" baseline="0">
                <a:solidFill>
                  <a:schemeClr val="tx1">
                    <a:lumMod val="65000"/>
                    <a:lumOff val="35000"/>
                  </a:schemeClr>
                </a:solidFill>
                <a:latin typeface="+mn-lt"/>
                <a:ea typeface="+mn-ea"/>
                <a:cs typeface="+mn-cs"/>
              </a:defRPr>
            </a:pPr>
            <a:endParaRPr lang="fr-FR"/>
          </a:p>
        </c:txPr>
        <c:crossAx val="172545536"/>
        <c:crosses val="autoZero"/>
        <c:auto val="1"/>
        <c:lblAlgn val="ctr"/>
        <c:lblOffset val="100"/>
      </c:catAx>
      <c:valAx>
        <c:axId val="172545536"/>
        <c:scaling>
          <c:orientation val="minMax"/>
        </c:scaling>
        <c:axPos val="l"/>
        <c:majorGridlines>
          <c:spPr>
            <a:ln w="9525" cap="flat" cmpd="sng" algn="ctr">
              <a:solidFill>
                <a:schemeClr val="tx1">
                  <a:lumMod val="15000"/>
                  <a:lumOff val="85000"/>
                </a:schemeClr>
              </a:solidFill>
              <a:round/>
            </a:ln>
            <a:effectLst/>
          </c:spPr>
        </c:majorGridlines>
        <c:numFmt formatCode="#,##0" sourceLinked="1"/>
        <c:majorTickMark val="none"/>
        <c:tickLblPos val="nextTo"/>
        <c:spPr>
          <a:noFill/>
          <a:ln>
            <a:noFill/>
          </a:ln>
          <a:effectLst/>
        </c:spPr>
        <c:txPr>
          <a:bodyPr rot="-60000000" spcFirstLastPara="1" vertOverflow="ellipsis" vert="horz" wrap="square" anchor="ctr" anchorCtr="1"/>
          <a:lstStyle/>
          <a:p>
            <a:pPr>
              <a:defRPr lang="de-DE" sz="900" b="0" i="0" u="none" strike="noStrike" kern="1200" baseline="0">
                <a:solidFill>
                  <a:schemeClr val="tx1">
                    <a:lumMod val="65000"/>
                    <a:lumOff val="35000"/>
                  </a:schemeClr>
                </a:solidFill>
                <a:latin typeface="+mn-lt"/>
                <a:ea typeface="+mn-ea"/>
                <a:cs typeface="+mn-cs"/>
              </a:defRPr>
            </a:pPr>
            <a:endParaRPr lang="fr-FR"/>
          </a:p>
        </c:txPr>
        <c:crossAx val="172544000"/>
        <c:crosses val="autoZero"/>
        <c:crossBetween val="between"/>
      </c:valAx>
      <c:spPr>
        <a:noFill/>
        <a:ln>
          <a:noFill/>
        </a:ln>
        <a:effectLst/>
      </c:spPr>
    </c:plotArea>
    <c:legend>
      <c:legendPos val="b"/>
      <c:spPr>
        <a:noFill/>
        <a:ln>
          <a:noFill/>
        </a:ln>
        <a:effectLst/>
      </c:spPr>
      <c:txPr>
        <a:bodyPr rot="0" spcFirstLastPara="1" vertOverflow="ellipsis" vert="horz" wrap="square" anchor="ctr" anchorCtr="1"/>
        <a:lstStyle/>
        <a:p>
          <a:pPr>
            <a:defRPr lang="de-DE"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000000000000089" l="0.70000000000000062" r="0.70000000000000062" t="0.75000000000000089"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lang val="fr-FR"/>
  <c:chart>
    <c:title>
      <c:tx>
        <c:rich>
          <a:bodyPr rot="0" spcFirstLastPara="1" vertOverflow="ellipsis" vert="horz" wrap="square" anchor="ctr" anchorCtr="1"/>
          <a:lstStyle/>
          <a:p>
            <a:pPr>
              <a:defRPr lang="de-DE" sz="1400" b="0" i="0" u="none" strike="noStrike" kern="1200" spc="0" baseline="0">
                <a:solidFill>
                  <a:schemeClr val="tx1">
                    <a:lumMod val="65000"/>
                    <a:lumOff val="35000"/>
                  </a:schemeClr>
                </a:solidFill>
                <a:latin typeface="+mn-lt"/>
                <a:ea typeface="+mn-ea"/>
                <a:cs typeface="+mn-cs"/>
              </a:defRPr>
            </a:pPr>
            <a:r>
              <a:rPr lang="fr-FR"/>
              <a:t>Couverture du cout économique</a:t>
            </a:r>
            <a:r>
              <a:rPr lang="fr-FR" baseline="0"/>
              <a:t> du Projet par les Avantages procurés</a:t>
            </a:r>
            <a:endParaRPr lang="fr-FR"/>
          </a:p>
        </c:rich>
      </c:tx>
      <c:spPr>
        <a:noFill/>
        <a:ln>
          <a:noFill/>
        </a:ln>
        <a:effectLst/>
      </c:spPr>
    </c:title>
    <c:plotArea>
      <c:layout>
        <c:manualLayout>
          <c:layoutTarget val="inner"/>
          <c:xMode val="edge"/>
          <c:yMode val="edge"/>
          <c:x val="0.13044768630138687"/>
          <c:y val="0.24939010356731914"/>
          <c:w val="0.86955231369861363"/>
          <c:h val="0.59468300064333168"/>
        </c:manualLayout>
      </c:layout>
      <c:lineChart>
        <c:grouping val="standard"/>
        <c:ser>
          <c:idx val="0"/>
          <c:order val="0"/>
          <c:tx>
            <c:strRef>
              <c:f>'5-Résultats Cout d''évitement '!$J$7</c:f>
              <c:strCache>
                <c:ptCount val="1"/>
                <c:pt idx="0">
                  <c:v>Couts Economiques du Projet</c:v>
                </c:pt>
              </c:strCache>
            </c:strRef>
          </c:tx>
          <c:spPr>
            <a:ln w="28575" cap="rnd">
              <a:solidFill>
                <a:schemeClr val="accent1"/>
              </a:solidFill>
              <a:round/>
            </a:ln>
            <a:effectLst/>
          </c:spPr>
          <c:marker>
            <c:symbol val="none"/>
          </c:marker>
          <c:cat>
            <c:numRef>
              <c:f>'5-Résultats Cout d''évitement '!$I$8:$I$32</c:f>
              <c:numCache>
                <c:formatCode>General</c:formatCode>
                <c:ptCount val="25"/>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numCache>
            </c:numRef>
          </c:cat>
          <c:val>
            <c:numRef>
              <c:f>'5-Résultats Cout d''évitement '!$J$8:$J$32</c:f>
              <c:numCache>
                <c:formatCode>#,##0</c:formatCode>
                <c:ptCount val="25"/>
                <c:pt idx="2">
                  <c:v>361429.24877093034</c:v>
                </c:pt>
                <c:pt idx="3">
                  <c:v>788834.05637796409</c:v>
                </c:pt>
                <c:pt idx="4">
                  <c:v>244013.12416732311</c:v>
                </c:pt>
                <c:pt idx="5">
                  <c:v>96205.073622819007</c:v>
                </c:pt>
                <c:pt idx="6">
                  <c:v>96832.49801601129</c:v>
                </c:pt>
                <c:pt idx="7">
                  <c:v>97491.293628863205</c:v>
                </c:pt>
                <c:pt idx="8">
                  <c:v>98183.029022357718</c:v>
                </c:pt>
                <c:pt idx="9">
                  <c:v>174669.42473552696</c:v>
                </c:pt>
                <c:pt idx="10">
                  <c:v>98909.351185526961</c:v>
                </c:pt>
                <c:pt idx="11">
                  <c:v>100472.75964174874</c:v>
                </c:pt>
                <c:pt idx="12">
                  <c:v>101313.56833588751</c:v>
                </c:pt>
                <c:pt idx="13">
                  <c:v>102196.41746473324</c:v>
                </c:pt>
                <c:pt idx="14">
                  <c:v>283568.44645732199</c:v>
                </c:pt>
                <c:pt idx="15">
                  <c:v>104096.75021457367</c:v>
                </c:pt>
                <c:pt idx="16">
                  <c:v>105118.7584373537</c:v>
                </c:pt>
                <c:pt idx="17">
                  <c:v>106191.86707127272</c:v>
                </c:pt>
                <c:pt idx="18">
                  <c:v>107318.63113688771</c:v>
                </c:pt>
                <c:pt idx="19">
                  <c:v>231906.91013564225</c:v>
                </c:pt>
                <c:pt idx="20">
                  <c:v>109743.99078812398</c:v>
                </c:pt>
                <c:pt idx="21">
                  <c:v>111048.3610395815</c:v>
                </c:pt>
                <c:pt idx="22">
                  <c:v>112417.94980361193</c:v>
                </c:pt>
                <c:pt idx="23">
                  <c:v>113856.01800584389</c:v>
                </c:pt>
                <c:pt idx="24" formatCode="0">
                  <c:v>115365.98961818742</c:v>
                </c:pt>
              </c:numCache>
            </c:numRef>
          </c:val>
          <c:extLst xmlns:c16r2="http://schemas.microsoft.com/office/drawing/2015/06/chart">
            <c:ext xmlns:c16="http://schemas.microsoft.com/office/drawing/2014/chart" uri="{C3380CC4-5D6E-409C-BE32-E72D297353CC}">
              <c16:uniqueId val="{00000000-10F0-364F-BA5F-B4A7ECBF92DE}"/>
            </c:ext>
          </c:extLst>
        </c:ser>
        <c:ser>
          <c:idx val="1"/>
          <c:order val="1"/>
          <c:tx>
            <c:strRef>
              <c:f>'5-Résultats Cout d''évitement '!$L$7</c:f>
              <c:strCache>
                <c:ptCount val="1"/>
                <c:pt idx="0">
                  <c:v>Avantages économiques du projet </c:v>
                </c:pt>
              </c:strCache>
            </c:strRef>
          </c:tx>
          <c:spPr>
            <a:ln w="28575" cap="rnd">
              <a:solidFill>
                <a:schemeClr val="accent2"/>
              </a:solidFill>
              <a:round/>
            </a:ln>
            <a:effectLst/>
          </c:spPr>
          <c:marker>
            <c:symbol val="none"/>
          </c:marker>
          <c:cat>
            <c:numRef>
              <c:f>'5-Résultats Cout d''évitement '!$I$8:$I$32</c:f>
              <c:numCache>
                <c:formatCode>General</c:formatCode>
                <c:ptCount val="25"/>
                <c:pt idx="2">
                  <c:v>2020</c:v>
                </c:pt>
                <c:pt idx="3">
                  <c:v>2021</c:v>
                </c:pt>
                <c:pt idx="4">
                  <c:v>2022</c:v>
                </c:pt>
                <c:pt idx="5">
                  <c:v>2023</c:v>
                </c:pt>
                <c:pt idx="6">
                  <c:v>2024</c:v>
                </c:pt>
                <c:pt idx="7">
                  <c:v>2025</c:v>
                </c:pt>
                <c:pt idx="8">
                  <c:v>2026</c:v>
                </c:pt>
                <c:pt idx="9">
                  <c:v>2027</c:v>
                </c:pt>
                <c:pt idx="10">
                  <c:v>2028</c:v>
                </c:pt>
                <c:pt idx="11">
                  <c:v>2029</c:v>
                </c:pt>
                <c:pt idx="12">
                  <c:v>2030</c:v>
                </c:pt>
                <c:pt idx="13">
                  <c:v>2031</c:v>
                </c:pt>
                <c:pt idx="14">
                  <c:v>2032</c:v>
                </c:pt>
                <c:pt idx="15">
                  <c:v>2033</c:v>
                </c:pt>
                <c:pt idx="16">
                  <c:v>2034</c:v>
                </c:pt>
                <c:pt idx="17">
                  <c:v>2035</c:v>
                </c:pt>
                <c:pt idx="18">
                  <c:v>2036</c:v>
                </c:pt>
                <c:pt idx="19">
                  <c:v>2037</c:v>
                </c:pt>
                <c:pt idx="20">
                  <c:v>2038</c:v>
                </c:pt>
                <c:pt idx="21">
                  <c:v>2039</c:v>
                </c:pt>
                <c:pt idx="22">
                  <c:v>2040</c:v>
                </c:pt>
                <c:pt idx="23">
                  <c:v>2041</c:v>
                </c:pt>
                <c:pt idx="24">
                  <c:v>2042</c:v>
                </c:pt>
              </c:numCache>
            </c:numRef>
          </c:cat>
          <c:val>
            <c:numRef>
              <c:f>'5-Résultats Cout d''évitement '!$L$8:$L$32</c:f>
              <c:numCache>
                <c:formatCode>#,##0</c:formatCode>
                <c:ptCount val="25"/>
                <c:pt idx="2">
                  <c:v>-361429.24877093034</c:v>
                </c:pt>
                <c:pt idx="3">
                  <c:v>-788834.05637796409</c:v>
                </c:pt>
                <c:pt idx="4">
                  <c:v>-244013.12416732311</c:v>
                </c:pt>
                <c:pt idx="5">
                  <c:v>243366.66294527138</c:v>
                </c:pt>
                <c:pt idx="6">
                  <c:v>244353.90340642791</c:v>
                </c:pt>
                <c:pt idx="7">
                  <c:v>245317.53967221812</c:v>
                </c:pt>
                <c:pt idx="8">
                  <c:v>246256.04087100649</c:v>
                </c:pt>
                <c:pt idx="9">
                  <c:v>171407.72433721035</c:v>
                </c:pt>
                <c:pt idx="10">
                  <c:v>248813.75771212901</c:v>
                </c:pt>
                <c:pt idx="11">
                  <c:v>248904.22797074076</c:v>
                </c:pt>
                <c:pt idx="12">
                  <c:v>249725.25531254651</c:v>
                </c:pt>
                <c:pt idx="13">
                  <c:v>250512.23815969646</c:v>
                </c:pt>
                <c:pt idx="14">
                  <c:v>70818.075890760811</c:v>
                </c:pt>
                <c:pt idx="15">
                  <c:v>251975.71260201829</c:v>
                </c:pt>
                <c:pt idx="16">
                  <c:v>252647.75778032461</c:v>
                </c:pt>
                <c:pt idx="17">
                  <c:v>253276.85485924993</c:v>
                </c:pt>
                <c:pt idx="18">
                  <c:v>253860.4883898159</c:v>
                </c:pt>
                <c:pt idx="19">
                  <c:v>130990.8386355016</c:v>
                </c:pt>
                <c:pt idx="20">
                  <c:v>254880.6588349347</c:v>
                </c:pt>
                <c:pt idx="21">
                  <c:v>255311.50119732905</c:v>
                </c:pt>
                <c:pt idx="22">
                  <c:v>255685.47715975568</c:v>
                </c:pt>
                <c:pt idx="23">
                  <c:v>255999.3663444233</c:v>
                </c:pt>
                <c:pt idx="24">
                  <c:v>256249.78552539682</c:v>
                </c:pt>
              </c:numCache>
            </c:numRef>
          </c:val>
          <c:extLst xmlns:c16r2="http://schemas.microsoft.com/office/drawing/2015/06/chart">
            <c:ext xmlns:c16="http://schemas.microsoft.com/office/drawing/2014/chart" uri="{C3380CC4-5D6E-409C-BE32-E72D297353CC}">
              <c16:uniqueId val="{00000001-10F0-364F-BA5F-B4A7ECBF92DE}"/>
            </c:ext>
          </c:extLst>
        </c:ser>
        <c:dLbls/>
        <c:marker val="1"/>
        <c:axId val="175533056"/>
        <c:axId val="175543040"/>
      </c:lineChart>
      <c:catAx>
        <c:axId val="175533056"/>
        <c:scaling>
          <c:orientation val="minMax"/>
        </c:scaling>
        <c:axPos val="b"/>
        <c:numFmt formatCode="General" sourceLinked="1"/>
        <c:majorTickMark val="none"/>
        <c:tickLblPos val="nextTo"/>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lang="de-DE" sz="900" b="0" i="0" u="none" strike="noStrike" kern="1200" baseline="0">
                <a:solidFill>
                  <a:schemeClr val="tx1">
                    <a:lumMod val="65000"/>
                    <a:lumOff val="35000"/>
                  </a:schemeClr>
                </a:solidFill>
                <a:latin typeface="+mn-lt"/>
                <a:ea typeface="+mn-ea"/>
                <a:cs typeface="+mn-cs"/>
              </a:defRPr>
            </a:pPr>
            <a:endParaRPr lang="fr-FR"/>
          </a:p>
        </c:txPr>
        <c:crossAx val="175543040"/>
        <c:crosses val="autoZero"/>
        <c:auto val="1"/>
        <c:lblAlgn val="ctr"/>
        <c:lblOffset val="100"/>
      </c:catAx>
      <c:valAx>
        <c:axId val="175543040"/>
        <c:scaling>
          <c:orientation val="minMax"/>
        </c:scaling>
        <c:axPos val="l"/>
        <c:majorGridlines>
          <c:spPr>
            <a:ln w="9525" cap="flat" cmpd="sng" algn="ctr">
              <a:solidFill>
                <a:schemeClr val="tx1">
                  <a:lumMod val="15000"/>
                  <a:lumOff val="85000"/>
                </a:schemeClr>
              </a:solidFill>
              <a:round/>
            </a:ln>
            <a:effectLst/>
          </c:spPr>
        </c:majorGridlines>
        <c:numFmt formatCode="#,##0" sourceLinked="1"/>
        <c:majorTickMark val="none"/>
        <c:tickLblPos val="nextTo"/>
        <c:spPr>
          <a:noFill/>
          <a:ln>
            <a:noFill/>
          </a:ln>
          <a:effectLst/>
        </c:spPr>
        <c:txPr>
          <a:bodyPr rot="-60000000" spcFirstLastPara="1" vertOverflow="ellipsis" vert="horz" wrap="square" anchor="ctr" anchorCtr="1"/>
          <a:lstStyle/>
          <a:p>
            <a:pPr>
              <a:defRPr lang="de-DE" sz="900" b="0" i="0" u="none" strike="noStrike" kern="1200" baseline="0">
                <a:solidFill>
                  <a:schemeClr val="tx1">
                    <a:lumMod val="65000"/>
                    <a:lumOff val="35000"/>
                  </a:schemeClr>
                </a:solidFill>
                <a:latin typeface="+mn-lt"/>
                <a:ea typeface="+mn-ea"/>
                <a:cs typeface="+mn-cs"/>
              </a:defRPr>
            </a:pPr>
            <a:endParaRPr lang="fr-FR"/>
          </a:p>
        </c:txPr>
        <c:crossAx val="175533056"/>
        <c:crosses val="autoZero"/>
        <c:crossBetween val="between"/>
      </c:valAx>
      <c:spPr>
        <a:noFill/>
        <a:ln>
          <a:noFill/>
        </a:ln>
        <a:effectLst/>
      </c:spPr>
    </c:plotArea>
    <c:legend>
      <c:legendPos val="b"/>
      <c:spPr>
        <a:noFill/>
        <a:ln>
          <a:noFill/>
        </a:ln>
        <a:effectLst/>
      </c:spPr>
      <c:txPr>
        <a:bodyPr rot="0" spcFirstLastPara="1" vertOverflow="ellipsis" vert="horz" wrap="square" anchor="ctr" anchorCtr="1"/>
        <a:lstStyle/>
        <a:p>
          <a:pPr>
            <a:defRPr lang="de-DE"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000000000000089" l="0.70000000000000062" r="0.70000000000000062" t="0.75000000000000089"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2</xdr:col>
      <xdr:colOff>27409</xdr:colOff>
      <xdr:row>25</xdr:row>
      <xdr:rowOff>171450</xdr:rowOff>
    </xdr:from>
    <xdr:to>
      <xdr:col>7</xdr:col>
      <xdr:colOff>317500</xdr:colOff>
      <xdr:row>41</xdr:row>
      <xdr:rowOff>63500</xdr:rowOff>
    </xdr:to>
    <xdr:graphicFrame macro="">
      <xdr:nvGraphicFramePr>
        <xdr:cNvPr id="3" name="Graphique 2">
          <a:extLst>
            <a:ext uri="{FF2B5EF4-FFF2-40B4-BE49-F238E27FC236}">
              <a16:creationId xmlns:a16="http://schemas.microsoft.com/office/drawing/2014/main" xmlns=""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698501</xdr:colOff>
      <xdr:row>26</xdr:row>
      <xdr:rowOff>236184</xdr:rowOff>
    </xdr:from>
    <xdr:to>
      <xdr:col>7</xdr:col>
      <xdr:colOff>279401</xdr:colOff>
      <xdr:row>43</xdr:row>
      <xdr:rowOff>127000</xdr:rowOff>
    </xdr:to>
    <xdr:graphicFrame macro="">
      <xdr:nvGraphicFramePr>
        <xdr:cNvPr id="2" name="Graphique 1">
          <a:extLst>
            <a:ext uri="{FF2B5EF4-FFF2-40B4-BE49-F238E27FC236}">
              <a16:creationId xmlns:a16="http://schemas.microsoft.com/office/drawing/2014/main" xmlns=""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aniel\Library\Containers\com.apple.mail\Data\Library\Mail%20Downloads\C7245B81-E279-4C09-AA1A-D4B88E1DD8F5\Rentabilite&#769;%20Economique%20De&#769;finitif%2029-9-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Nejib%20ABID\Desktop\Rentabilit&#233;%20financi&#232;re%20def%2019-8-20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Nejib%20ABID\Desktop\Outil%20d'utilisation%20modele%20de%20TRI\Calcul%20rentabilit&#233;%20financi&#232;re%20_D&#233;finitif%2020200109%20%20definitiv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Nejib%20ABID\Desktop\Calcul%20Rent.Fin%20ABID.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1-Préambule"/>
      <sheetName val="2-CONCEPTION DE L'OUTIL"/>
      <sheetName val=" "/>
      <sheetName val="3-DONNEE DE BASE"/>
      <sheetName val="4-Résultat Disposition à payer "/>
      <sheetName val="5-Résultats Cout d'évitement "/>
      <sheetName val="6-Cout économique du projet"/>
      <sheetName val="7-Charges d'exp - économique"/>
      <sheetName val="8-Coefficient de conversion "/>
      <sheetName val="5-Cout  économique  charg d'exp"/>
      <sheetName val="-9-  Bénéfice cout  d'évitemen "/>
      <sheetName val="D"/>
      <sheetName val="10-TRE et VAN - Cout d'évitemen"/>
      <sheetName val="11-Bénéfice  disposition à paye"/>
      <sheetName val="12-TRE et VAN Disposition à pay"/>
    </sheetNames>
    <sheetDataSet>
      <sheetData sheetId="0"/>
      <sheetData sheetId="1"/>
      <sheetData sheetId="2"/>
      <sheetData sheetId="3"/>
      <sheetData sheetId="4"/>
      <sheetData sheetId="5"/>
      <sheetData sheetId="6"/>
      <sheetData sheetId="7"/>
      <sheetData sheetId="8"/>
      <sheetData sheetId="9"/>
      <sheetData sheetId="10">
        <row r="23">
          <cell r="K23">
            <v>339571.73656809039</v>
          </cell>
        </row>
      </sheetData>
      <sheetData sheetId="11"/>
      <sheetData sheetId="12">
        <row r="17">
          <cell r="G17">
            <v>255141.11608656376</v>
          </cell>
        </row>
      </sheetData>
      <sheetData sheetId="13"/>
      <sheetData sheetId="1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0-Introduction "/>
      <sheetName val="1-FICHE DE PRESENTATION"/>
      <sheetName val="2-DONNEES DE BASE"/>
      <sheetName val="3-RESULTATS"/>
      <sheetName val="4-Analyse de sensibilité"/>
      <sheetName val="5-Calcul de base AVEC   TVA"/>
      <sheetName val="6-Calcul de base SANS TVA"/>
      <sheetName val="7-Cout  projet avec et sans TVA"/>
    </sheetNames>
    <sheetDataSet>
      <sheetData sheetId="0"/>
      <sheetData sheetId="1"/>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Introduction "/>
      <sheetName val="FICHE DE PRESENTATION"/>
      <sheetName val="DONNEES DE BASE"/>
      <sheetName val="Feuil1"/>
      <sheetName val="RESULTATS"/>
      <sheetName val="Calcul de base"/>
      <sheetName val="Résultat Finacement"/>
      <sheetName val="Revenues &amp; Coûts d'exploitation"/>
      <sheetName val="Rentabilite"/>
    </sheetNames>
    <sheetDataSet>
      <sheetData sheetId="0" refreshError="1"/>
      <sheetData sheetId="1" refreshError="1"/>
      <sheetData sheetId="2">
        <row r="16">
          <cell r="E16">
            <v>0.1</v>
          </cell>
        </row>
      </sheetData>
      <sheetData sheetId="3" refreshError="1"/>
      <sheetData sheetId="4" refreshError="1"/>
      <sheetData sheetId="5">
        <row r="33">
          <cell r="E33">
            <v>15120</v>
          </cell>
        </row>
        <row r="37">
          <cell r="E37">
            <v>46464</v>
          </cell>
        </row>
      </sheetData>
      <sheetData sheetId="6" refreshError="1"/>
      <sheetData sheetId="7" refreshError="1"/>
      <sheetData sheetId="8"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1-Introduction "/>
      <sheetName val="2-FICHE DE PRESENTATION"/>
      <sheetName val="3-DONNEES DE BASE"/>
      <sheetName val="4-RESULTATS"/>
      <sheetName val="5-Calcul de base"/>
      <sheetName val="6-Résultat Finacement"/>
      <sheetName val="7-Revenues&amp;Coûts d'exploitation"/>
      <sheetName val="8-Rentabilite"/>
      <sheetName val="9-Valeurs résiduelles"/>
    </sheetNames>
    <sheetDataSet>
      <sheetData sheetId="0" refreshError="1"/>
      <sheetData sheetId="1" refreshError="1"/>
      <sheetData sheetId="2" refreshError="1">
        <row r="50">
          <cell r="G50">
            <v>66333.884351699031</v>
          </cell>
        </row>
      </sheetData>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B3:L25"/>
  <sheetViews>
    <sheetView tabSelected="1" workbookViewId="0">
      <selection activeCell="O22" sqref="O22"/>
    </sheetView>
  </sheetViews>
  <sheetFormatPr baseColWidth="10" defaultRowHeight="15"/>
  <cols>
    <col min="12" max="12" width="16.140625" customWidth="1"/>
  </cols>
  <sheetData>
    <row r="3" spans="2:12" ht="15.75" thickBot="1">
      <c r="B3" s="24"/>
      <c r="C3" s="24"/>
      <c r="D3" s="24"/>
      <c r="E3" s="24"/>
      <c r="F3" s="24"/>
      <c r="G3" s="24"/>
      <c r="H3" s="24"/>
      <c r="I3" s="24"/>
      <c r="J3" s="24"/>
      <c r="K3" s="24"/>
      <c r="L3" s="24"/>
    </row>
    <row r="4" spans="2:12">
      <c r="B4" s="24"/>
      <c r="C4" s="805" t="s">
        <v>32</v>
      </c>
      <c r="D4" s="806"/>
      <c r="E4" s="806"/>
      <c r="F4" s="806"/>
      <c r="G4" s="806"/>
      <c r="H4" s="806"/>
      <c r="I4" s="806"/>
      <c r="J4" s="806"/>
      <c r="K4" s="806"/>
      <c r="L4" s="807"/>
    </row>
    <row r="5" spans="2:12" ht="33" customHeight="1" thickBot="1">
      <c r="B5" s="24"/>
      <c r="C5" s="808"/>
      <c r="D5" s="809"/>
      <c r="E5" s="809"/>
      <c r="F5" s="809"/>
      <c r="G5" s="809"/>
      <c r="H5" s="809"/>
      <c r="I5" s="809"/>
      <c r="J5" s="809"/>
      <c r="K5" s="809"/>
      <c r="L5" s="810"/>
    </row>
    <row r="6" spans="2:12">
      <c r="B6" s="24"/>
      <c r="C6" s="24"/>
      <c r="D6" s="24"/>
      <c r="E6" s="24"/>
      <c r="F6" s="24"/>
      <c r="G6" s="24"/>
      <c r="H6" s="24"/>
      <c r="I6" s="24"/>
      <c r="J6" s="24"/>
      <c r="K6" s="24"/>
      <c r="L6" s="24"/>
    </row>
    <row r="7" spans="2:12" ht="15.75" thickBot="1"/>
    <row r="8" spans="2:12">
      <c r="C8" s="440"/>
      <c r="D8" s="441"/>
      <c r="E8" s="441"/>
      <c r="F8" s="441"/>
      <c r="G8" s="441"/>
      <c r="H8" s="441"/>
      <c r="I8" s="441"/>
      <c r="J8" s="441"/>
      <c r="K8" s="441"/>
      <c r="L8" s="442"/>
    </row>
    <row r="9" spans="2:12" ht="15.75">
      <c r="C9" s="801" t="s">
        <v>296</v>
      </c>
      <c r="D9" s="799"/>
      <c r="E9" s="799"/>
      <c r="F9" s="799"/>
      <c r="G9" s="799"/>
      <c r="H9" s="799"/>
      <c r="I9" s="799"/>
      <c r="J9" s="799"/>
      <c r="K9" s="799"/>
      <c r="L9" s="800"/>
    </row>
    <row r="10" spans="2:12" ht="15.75">
      <c r="C10" s="415" t="s">
        <v>18</v>
      </c>
      <c r="D10" s="416"/>
      <c r="E10" s="416"/>
      <c r="F10" s="416"/>
      <c r="G10" s="417"/>
      <c r="H10" s="250"/>
      <c r="I10" s="250"/>
      <c r="J10" s="250"/>
      <c r="K10" s="250"/>
      <c r="L10" s="443"/>
    </row>
    <row r="11" spans="2:12" ht="15.75">
      <c r="C11" s="415" t="s">
        <v>66</v>
      </c>
      <c r="D11" s="416"/>
      <c r="E11" s="416"/>
      <c r="F11" s="416"/>
      <c r="G11" s="416"/>
      <c r="H11" s="416"/>
      <c r="I11" s="416"/>
      <c r="J11" s="416"/>
      <c r="K11" s="416"/>
      <c r="L11" s="417"/>
    </row>
    <row r="12" spans="2:12" ht="18.75">
      <c r="C12" s="814" t="s">
        <v>19</v>
      </c>
      <c r="D12" s="815"/>
      <c r="E12" s="815"/>
      <c r="F12" s="815"/>
      <c r="G12" s="815"/>
      <c r="H12" s="815"/>
      <c r="I12" s="815"/>
      <c r="J12" s="815"/>
      <c r="K12" s="815"/>
      <c r="L12" s="816"/>
    </row>
    <row r="13" spans="2:12" s="137" customFormat="1" ht="32.25" customHeight="1">
      <c r="C13" s="811" t="s">
        <v>448</v>
      </c>
      <c r="D13" s="812"/>
      <c r="E13" s="812"/>
      <c r="F13" s="812"/>
      <c r="G13" s="812"/>
      <c r="H13" s="812"/>
      <c r="I13" s="812"/>
      <c r="J13" s="812"/>
      <c r="K13" s="812"/>
      <c r="L13" s="813"/>
    </row>
    <row r="14" spans="2:12" s="137" customFormat="1" ht="15.75">
      <c r="C14" s="801" t="s">
        <v>63</v>
      </c>
      <c r="D14" s="799"/>
      <c r="E14" s="799"/>
      <c r="F14" s="799"/>
      <c r="G14" s="799"/>
      <c r="H14" s="799"/>
      <c r="I14" s="799"/>
      <c r="J14" s="799"/>
      <c r="K14" s="799"/>
      <c r="L14" s="800"/>
    </row>
    <row r="15" spans="2:12" s="137" customFormat="1" ht="15.75">
      <c r="C15" s="801" t="s">
        <v>64</v>
      </c>
      <c r="D15" s="799"/>
      <c r="E15" s="799"/>
      <c r="F15" s="799"/>
      <c r="G15" s="799"/>
      <c r="H15" s="799"/>
      <c r="I15" s="799"/>
      <c r="J15" s="799"/>
      <c r="K15" s="799"/>
      <c r="L15" s="800"/>
    </row>
    <row r="16" spans="2:12" s="137" customFormat="1" ht="15.75">
      <c r="C16" s="801" t="s">
        <v>17</v>
      </c>
      <c r="D16" s="799"/>
      <c r="E16" s="799"/>
      <c r="F16" s="799"/>
      <c r="G16" s="799"/>
      <c r="H16" s="799"/>
      <c r="I16" s="799"/>
      <c r="J16" s="799"/>
      <c r="K16" s="799"/>
      <c r="L16" s="800"/>
    </row>
    <row r="17" spans="3:12" ht="15.75">
      <c r="C17" s="415" t="s">
        <v>44</v>
      </c>
      <c r="D17" s="416"/>
      <c r="E17" s="416"/>
      <c r="F17" s="416"/>
      <c r="G17" s="416"/>
      <c r="H17" s="416"/>
      <c r="I17" s="416"/>
      <c r="J17" s="416"/>
      <c r="K17" s="416"/>
      <c r="L17" s="417"/>
    </row>
    <row r="18" spans="3:12" ht="15.75">
      <c r="C18" s="415" t="s">
        <v>29</v>
      </c>
      <c r="D18" s="416"/>
      <c r="E18" s="416"/>
      <c r="F18" s="416"/>
      <c r="G18" s="417"/>
      <c r="H18" s="250"/>
      <c r="I18" s="250"/>
      <c r="J18" s="250"/>
      <c r="K18" s="250"/>
      <c r="L18" s="443"/>
    </row>
    <row r="19" spans="3:12" ht="15.75">
      <c r="C19" s="798" t="s">
        <v>449</v>
      </c>
      <c r="D19" s="799"/>
      <c r="E19" s="799"/>
      <c r="F19" s="799"/>
      <c r="G19" s="799"/>
      <c r="H19" s="799"/>
      <c r="I19" s="799"/>
      <c r="J19" s="799"/>
      <c r="K19" s="799"/>
      <c r="L19" s="800"/>
    </row>
    <row r="20" spans="3:12" ht="18.75">
      <c r="C20" s="798" t="s">
        <v>451</v>
      </c>
      <c r="D20" s="799"/>
      <c r="E20" s="799"/>
      <c r="F20" s="799"/>
      <c r="G20" s="799"/>
      <c r="H20" s="799"/>
      <c r="I20" s="799"/>
      <c r="J20" s="799"/>
      <c r="K20" s="799"/>
      <c r="L20" s="800"/>
    </row>
    <row r="21" spans="3:12" ht="15.75">
      <c r="C21" s="801" t="s">
        <v>65</v>
      </c>
      <c r="D21" s="799"/>
      <c r="E21" s="799"/>
      <c r="F21" s="799"/>
      <c r="G21" s="799"/>
      <c r="H21" s="799"/>
      <c r="I21" s="799"/>
      <c r="J21" s="799"/>
      <c r="K21" s="799"/>
      <c r="L21" s="800"/>
    </row>
    <row r="22" spans="3:12" ht="18.75">
      <c r="C22" s="798" t="s">
        <v>450</v>
      </c>
      <c r="D22" s="799"/>
      <c r="E22" s="799"/>
      <c r="F22" s="799"/>
      <c r="G22" s="799"/>
      <c r="H22" s="799"/>
      <c r="I22" s="799"/>
      <c r="J22" s="799"/>
      <c r="K22" s="799"/>
      <c r="L22" s="800"/>
    </row>
    <row r="23" spans="3:12" ht="15.75">
      <c r="C23" s="801" t="s">
        <v>30</v>
      </c>
      <c r="D23" s="799"/>
      <c r="E23" s="799"/>
      <c r="F23" s="799"/>
      <c r="G23" s="799"/>
      <c r="H23" s="799"/>
      <c r="I23" s="799"/>
      <c r="J23" s="799"/>
      <c r="K23" s="799"/>
      <c r="L23" s="800"/>
    </row>
    <row r="24" spans="3:12" ht="15.75">
      <c r="C24" s="802" t="s">
        <v>397</v>
      </c>
      <c r="D24" s="803"/>
      <c r="E24" s="803"/>
      <c r="F24" s="803"/>
      <c r="G24" s="803"/>
      <c r="H24" s="803"/>
      <c r="I24" s="803"/>
      <c r="J24" s="803"/>
      <c r="K24" s="803"/>
      <c r="L24" s="804"/>
    </row>
    <row r="25" spans="3:12" ht="19.5" thickBot="1">
      <c r="C25" s="422" t="s">
        <v>398</v>
      </c>
      <c r="D25" s="444"/>
      <c r="E25" s="444"/>
      <c r="F25" s="444"/>
      <c r="G25" s="445"/>
      <c r="H25" s="446"/>
      <c r="I25" s="446"/>
      <c r="J25" s="446"/>
      <c r="K25" s="446"/>
      <c r="L25" s="447"/>
    </row>
  </sheetData>
  <mergeCells count="13">
    <mergeCell ref="C4:L5"/>
    <mergeCell ref="C13:L13"/>
    <mergeCell ref="C20:L20"/>
    <mergeCell ref="C21:L21"/>
    <mergeCell ref="C9:L9"/>
    <mergeCell ref="C12:L12"/>
    <mergeCell ref="C14:L14"/>
    <mergeCell ref="C15:L15"/>
    <mergeCell ref="C22:L22"/>
    <mergeCell ref="C23:L23"/>
    <mergeCell ref="C24:L24"/>
    <mergeCell ref="C16:L16"/>
    <mergeCell ref="C19:L19"/>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dimension ref="A2:N43"/>
  <sheetViews>
    <sheetView topLeftCell="B25" workbookViewId="0">
      <selection activeCell="J9" sqref="J9"/>
    </sheetView>
  </sheetViews>
  <sheetFormatPr baseColWidth="10" defaultRowHeight="15"/>
  <cols>
    <col min="2" max="2" width="35.7109375" customWidth="1"/>
    <col min="3" max="3" width="16.7109375" style="336" customWidth="1"/>
    <col min="4" max="4" width="18" style="29" customWidth="1"/>
    <col min="5" max="5" width="16" style="29" customWidth="1"/>
    <col min="6" max="6" width="16.7109375" style="336" customWidth="1"/>
    <col min="7" max="7" width="20.42578125" style="336" customWidth="1"/>
    <col min="8" max="8" width="12.85546875" style="336" bestFit="1" customWidth="1"/>
    <col min="9" max="9" width="10.85546875" style="336"/>
    <col min="10" max="10" width="11.42578125" style="336" customWidth="1"/>
    <col min="11" max="11" width="13.7109375" style="261" customWidth="1"/>
    <col min="12" max="12" width="11.85546875" style="261" customWidth="1"/>
  </cols>
  <sheetData>
    <row r="2" spans="1:12">
      <c r="B2" t="s">
        <v>35</v>
      </c>
    </row>
    <row r="3" spans="1:12">
      <c r="E3" s="338"/>
      <c r="F3" s="337"/>
    </row>
    <row r="4" spans="1:12" ht="15.75" thickBot="1">
      <c r="E4" s="338"/>
      <c r="F4" s="337"/>
    </row>
    <row r="5" spans="1:12" ht="50.1" customHeight="1" thickBot="1">
      <c r="A5" s="24"/>
      <c r="B5" s="933" t="s">
        <v>269</v>
      </c>
      <c r="C5" s="1177"/>
      <c r="D5" s="1177"/>
      <c r="E5" s="1177"/>
      <c r="F5" s="1177"/>
      <c r="G5" s="1178"/>
    </row>
    <row r="6" spans="1:12" ht="39.6" customHeight="1" thickBot="1">
      <c r="A6" s="24"/>
      <c r="B6" s="41"/>
      <c r="C6" s="41"/>
      <c r="D6" s="135"/>
      <c r="E6" s="338"/>
      <c r="F6" s="41"/>
      <c r="G6" s="130"/>
    </row>
    <row r="7" spans="1:12" ht="50.1" customHeight="1">
      <c r="A7" s="24"/>
      <c r="B7" s="1179" t="s">
        <v>259</v>
      </c>
      <c r="C7" s="1180"/>
      <c r="D7" s="1180"/>
      <c r="E7" s="1180"/>
      <c r="F7" s="1180"/>
      <c r="G7" s="1181"/>
    </row>
    <row r="8" spans="1:12" s="261" customFormat="1" ht="63" customHeight="1">
      <c r="B8" s="1113" t="s">
        <v>165</v>
      </c>
      <c r="C8" s="1114"/>
      <c r="D8" s="1114"/>
      <c r="E8" s="1114"/>
      <c r="F8" s="1114"/>
      <c r="G8" s="1115"/>
    </row>
    <row r="9" spans="1:12" s="137" customFormat="1" ht="65.25" customHeight="1">
      <c r="B9" s="1113" t="s">
        <v>260</v>
      </c>
      <c r="C9" s="1114"/>
      <c r="D9" s="1114"/>
      <c r="E9" s="1114"/>
      <c r="F9" s="1114"/>
      <c r="G9" s="1115"/>
      <c r="H9" s="261"/>
      <c r="I9" s="261"/>
      <c r="J9" s="261"/>
      <c r="K9" s="261"/>
      <c r="L9" s="261"/>
    </row>
    <row r="10" spans="1:12" ht="18.600000000000001" customHeight="1">
      <c r="A10" s="24"/>
      <c r="B10" s="1182" t="s">
        <v>57</v>
      </c>
      <c r="C10" s="1183"/>
      <c r="D10" s="1183"/>
      <c r="E10" s="1183"/>
      <c r="F10" s="1183"/>
      <c r="G10" s="1184"/>
    </row>
    <row r="11" spans="1:12" ht="21" customHeight="1">
      <c r="A11" s="24"/>
      <c r="B11" s="1113" t="s">
        <v>60</v>
      </c>
      <c r="C11" s="1114"/>
      <c r="D11" s="1114"/>
      <c r="E11" s="1114"/>
      <c r="F11" s="1114"/>
      <c r="G11" s="1115"/>
    </row>
    <row r="12" spans="1:12" ht="33.950000000000003" customHeight="1">
      <c r="A12" s="24"/>
      <c r="B12" s="1113" t="s">
        <v>58</v>
      </c>
      <c r="C12" s="1114"/>
      <c r="D12" s="1114"/>
      <c r="E12" s="1114"/>
      <c r="F12" s="1114"/>
      <c r="G12" s="1115"/>
    </row>
    <row r="13" spans="1:12" ht="47.45" customHeight="1">
      <c r="A13" s="24"/>
      <c r="B13" s="1113" t="s">
        <v>264</v>
      </c>
      <c r="C13" s="1114"/>
      <c r="D13" s="1114"/>
      <c r="E13" s="1114"/>
      <c r="F13" s="1114"/>
      <c r="G13" s="1115"/>
    </row>
    <row r="14" spans="1:12" ht="23.45" customHeight="1">
      <c r="A14" s="24"/>
      <c r="B14" s="1113" t="s">
        <v>265</v>
      </c>
      <c r="C14" s="1114"/>
      <c r="D14" s="1114"/>
      <c r="E14" s="1114"/>
      <c r="F14" s="1114"/>
      <c r="G14" s="1115"/>
    </row>
    <row r="15" spans="1:12" ht="18.600000000000001" customHeight="1">
      <c r="A15" s="24"/>
      <c r="B15" s="1182" t="s">
        <v>59</v>
      </c>
      <c r="C15" s="1183"/>
      <c r="D15" s="1183"/>
      <c r="E15" s="1183"/>
      <c r="F15" s="1183"/>
      <c r="G15" s="1184"/>
    </row>
    <row r="16" spans="1:12" ht="18.95" customHeight="1" thickBot="1">
      <c r="A16" s="37"/>
      <c r="B16" s="1165" t="s">
        <v>471</v>
      </c>
      <c r="C16" s="1166"/>
      <c r="D16" s="1166"/>
      <c r="E16" s="1166"/>
      <c r="F16" s="1166"/>
      <c r="G16" s="1167"/>
    </row>
    <row r="17" spans="1:14" s="137" customFormat="1" ht="30.95" customHeight="1" thickBot="1">
      <c r="B17" s="799" t="s">
        <v>431</v>
      </c>
      <c r="C17" s="799"/>
      <c r="D17" s="799"/>
      <c r="E17" s="799"/>
      <c r="F17" s="799"/>
      <c r="G17" s="799"/>
      <c r="H17" s="261"/>
      <c r="I17" s="261"/>
      <c r="J17" s="261"/>
      <c r="K17" s="261"/>
      <c r="L17" s="261"/>
    </row>
    <row r="18" spans="1:14" s="137" customFormat="1" ht="30.95" customHeight="1" thickBot="1">
      <c r="B18" s="335"/>
      <c r="C18" s="930" t="s">
        <v>412</v>
      </c>
      <c r="D18" s="931"/>
      <c r="E18" s="931"/>
      <c r="F18" s="931"/>
      <c r="G18" s="931"/>
      <c r="H18" s="931"/>
      <c r="I18" s="931"/>
      <c r="J18" s="932"/>
      <c r="K18" s="261"/>
      <c r="L18" s="261"/>
    </row>
    <row r="19" spans="1:14" ht="15.75" thickBot="1">
      <c r="A19" s="2"/>
      <c r="B19" s="2"/>
      <c r="C19" s="337"/>
      <c r="D19" s="338"/>
      <c r="E19" s="338"/>
      <c r="F19" s="337"/>
      <c r="G19" s="337"/>
    </row>
    <row r="20" spans="1:14" s="137" customFormat="1" ht="29.45" customHeight="1">
      <c r="A20" s="133"/>
      <c r="B20" s="1174" t="s">
        <v>1</v>
      </c>
      <c r="C20" s="1168" t="s">
        <v>436</v>
      </c>
      <c r="D20" s="1171" t="s">
        <v>437</v>
      </c>
      <c r="E20" s="894" t="s">
        <v>440</v>
      </c>
      <c r="F20" s="1157"/>
      <c r="G20" s="1158"/>
      <c r="H20" s="894" t="s">
        <v>442</v>
      </c>
      <c r="I20" s="1157"/>
      <c r="J20" s="1158"/>
      <c r="K20" s="1162" t="s">
        <v>443</v>
      </c>
    </row>
    <row r="21" spans="1:14" ht="24.6" customHeight="1">
      <c r="A21" s="2"/>
      <c r="B21" s="1175"/>
      <c r="C21" s="1169"/>
      <c r="D21" s="1172"/>
      <c r="E21" s="1159" t="s">
        <v>444</v>
      </c>
      <c r="F21" s="1160"/>
      <c r="G21" s="1161"/>
      <c r="H21" s="1159" t="s">
        <v>444</v>
      </c>
      <c r="I21" s="1160"/>
      <c r="J21" s="1161"/>
      <c r="K21" s="1163"/>
    </row>
    <row r="22" spans="1:14" ht="48" thickBot="1">
      <c r="A22" s="2"/>
      <c r="B22" s="1176"/>
      <c r="C22" s="1170"/>
      <c r="D22" s="1173"/>
      <c r="E22" s="682" t="s">
        <v>436</v>
      </c>
      <c r="F22" s="683" t="s">
        <v>437</v>
      </c>
      <c r="G22" s="684" t="s">
        <v>441</v>
      </c>
      <c r="H22" s="682" t="s">
        <v>436</v>
      </c>
      <c r="I22" s="683" t="s">
        <v>437</v>
      </c>
      <c r="J22" s="684" t="s">
        <v>441</v>
      </c>
      <c r="K22" s="1164"/>
    </row>
    <row r="23" spans="1:14" ht="15.75">
      <c r="A23" s="2"/>
      <c r="B23" s="675">
        <v>2023</v>
      </c>
      <c r="C23" s="676">
        <f>+'3-DONNEE DE BASE'!$E$8*(1+'3-DONNEE DE BASE'!$F$8)^4</f>
        <v>70951.467318468698</v>
      </c>
      <c r="D23" s="677">
        <f>+'3-DONNEE DE BASE'!$E$9*(1+'3-DONNEE DE BASE'!$F$9)^4+'3-DONNEE DE BASE'!$E$10*(1+'3-DONNEE DE BASE'!$F$10)^4</f>
        <v>34978.080378954699</v>
      </c>
      <c r="E23" s="678">
        <f>+C23*'3-DONNEE DE BASE'!$D$73*'3-DONNEE DE BASE'!$E$74*'3-DONNEE DE BASE'!$G$75</f>
        <v>354757.33659234352</v>
      </c>
      <c r="F23" s="666">
        <f>+D23*'3-DONNEE DE BASE'!$D$73*'3-DONNEE DE BASE'!$E$74*'3-DONNEE DE BASE'!$G$75</f>
        <v>174890.4018947735</v>
      </c>
      <c r="G23" s="679">
        <f>+F23+E23</f>
        <v>529647.73848711699</v>
      </c>
      <c r="H23" s="678">
        <f>+C23*'3-DONNEE DE BASE'!$D$77*'3-DONNEE DE BASE'!$G$80*'3-DONNEE DE BASE'!$E$83</f>
        <v>85141.760782162455</v>
      </c>
      <c r="I23" s="666">
        <f>+D23*'3-DONNEE DE BASE'!$D$78*'3-DONNEE DE BASE'!$G$79*'3-DONNEE DE BASE'!$E$82</f>
        <v>104934.24113686412</v>
      </c>
      <c r="J23" s="680">
        <f>+I23+H23</f>
        <v>190076.00191902657</v>
      </c>
      <c r="K23" s="681">
        <f>+G23-J23</f>
        <v>339571.73656809039</v>
      </c>
      <c r="M23" s="9"/>
      <c r="N23" s="9"/>
    </row>
    <row r="24" spans="1:14" ht="15.75">
      <c r="A24" s="2"/>
      <c r="B24" s="668">
        <f>+B23+1</f>
        <v>2024</v>
      </c>
      <c r="C24" s="394">
        <f>+'3-DONNEE DE BASE'!$E$8*(1+'3-DONNEE DE BASE'!$F$8)^5</f>
        <v>71306.224655061029</v>
      </c>
      <c r="D24" s="571">
        <f>+'3-DONNEE DE BASE'!$E$9*(1+'3-DONNEE DE BASE'!$F$9)^5+'3-DONNEE DE BASE'!$E$10*(1+'3-DONNEE DE BASE'!$F$10)^5</f>
        <v>35111.373866603666</v>
      </c>
      <c r="E24" s="671">
        <f>+C24*'3-DONNEE DE BASE'!$D$73*'3-DONNEE DE BASE'!$E$74*'3-DONNEE DE BASE'!$G$75</f>
        <v>356531.12327530514</v>
      </c>
      <c r="F24" s="425">
        <f>+D24*'3-DONNEE DE BASE'!$D$73*'3-DONNEE DE BASE'!$E$74*'3-DONNEE DE BASE'!$G$75</f>
        <v>175556.86933301832</v>
      </c>
      <c r="G24" s="426">
        <f t="shared" ref="G24:G42" si="0">+F24+E24</f>
        <v>532087.99260832346</v>
      </c>
      <c r="H24" s="671">
        <f>+C24*'3-DONNEE DE BASE'!$D$77*'3-DONNEE DE BASE'!$G$80*'3-DONNEE DE BASE'!$E$83</f>
        <v>85567.469586073246</v>
      </c>
      <c r="I24" s="425">
        <f>+D24*'3-DONNEE DE BASE'!$D$78*'3-DONNEE DE BASE'!$G$79*'3-DONNEE DE BASE'!$E$82</f>
        <v>105334.12159981101</v>
      </c>
      <c r="J24" s="429">
        <f t="shared" ref="J24:J42" si="1">+I24+H24</f>
        <v>190901.59118588426</v>
      </c>
      <c r="K24" s="673">
        <f t="shared" ref="K24:K42" si="2">+G24-J24</f>
        <v>341186.4014224392</v>
      </c>
      <c r="M24" s="9"/>
      <c r="N24" s="9"/>
    </row>
    <row r="25" spans="1:14" ht="15.75">
      <c r="A25" s="2"/>
      <c r="B25" s="668">
        <f t="shared" ref="B25:B42" si="3">+B24+1</f>
        <v>2025</v>
      </c>
      <c r="C25" s="394">
        <f>+'3-DONNEE DE BASE'!$E$8*(1+'3-DONNEE DE BASE'!$F$8)^6</f>
        <v>71662.75577833633</v>
      </c>
      <c r="D25" s="571">
        <f>+'3-DONNEE DE BASE'!$E$9*(1+'3-DONNEE DE BASE'!$F$9)^6+'3-DONNEE DE BASE'!$E$10*(1+'3-DONNEE DE BASE'!$F$10)^6</f>
        <v>35245.18067170163</v>
      </c>
      <c r="E25" s="671">
        <f>+C25*'3-DONNEE DE BASE'!$D$73*'3-DONNEE DE BASE'!$E$74*'3-DONNEE DE BASE'!$G$75</f>
        <v>358313.77889168164</v>
      </c>
      <c r="F25" s="425">
        <f>+D25*'3-DONNEE DE BASE'!$D$73*'3-DONNEE DE BASE'!$E$74*'3-DONNEE DE BASE'!$G$75</f>
        <v>176225.90335850813</v>
      </c>
      <c r="G25" s="426">
        <f t="shared" si="0"/>
        <v>534539.68225018983</v>
      </c>
      <c r="H25" s="671">
        <f>+C25*'3-DONNEE DE BASE'!$D$77*'3-DONNEE DE BASE'!$G$80*'3-DONNEE DE BASE'!$E$83</f>
        <v>85995.306934003602</v>
      </c>
      <c r="I25" s="425">
        <f>+D25*'3-DONNEE DE BASE'!$D$78*'3-DONNEE DE BASE'!$G$79*'3-DONNEE DE BASE'!$E$82</f>
        <v>105735.54201510489</v>
      </c>
      <c r="J25" s="429">
        <f t="shared" si="1"/>
        <v>191730.84894910851</v>
      </c>
      <c r="K25" s="673">
        <f t="shared" si="2"/>
        <v>342808.83330108132</v>
      </c>
      <c r="M25" s="9"/>
      <c r="N25" s="9"/>
    </row>
    <row r="26" spans="1:14" ht="15.75">
      <c r="A26" s="2"/>
      <c r="B26" s="668">
        <f t="shared" si="3"/>
        <v>2026</v>
      </c>
      <c r="C26" s="394">
        <f>+'3-DONNEE DE BASE'!$E$8*(1+'3-DONNEE DE BASE'!$F$8)^7</f>
        <v>72021.069557228009</v>
      </c>
      <c r="D26" s="571">
        <f>+'3-DONNEE DE BASE'!$E$9*(1+'3-DONNEE DE BASE'!$F$9)^7+'3-DONNEE DE BASE'!$E$10*(1+'3-DONNEE DE BASE'!$F$10)^7</f>
        <v>35379.502787948877</v>
      </c>
      <c r="E26" s="671">
        <f>+C26*'3-DONNEE DE BASE'!$D$73*'3-DONNEE DE BASE'!$E$74*'3-DONNEE DE BASE'!$G$75</f>
        <v>360105.34778614005</v>
      </c>
      <c r="F26" s="425">
        <f>+D26*'3-DONNEE DE BASE'!$D$73*'3-DONNEE DE BASE'!$E$74*'3-DONNEE DE BASE'!$G$75</f>
        <v>176897.51393974439</v>
      </c>
      <c r="G26" s="426">
        <f t="shared" si="0"/>
        <v>537002.86172588449</v>
      </c>
      <c r="H26" s="671">
        <f>+C26*'3-DONNEE DE BASE'!$D$77*'3-DONNEE DE BASE'!$G$80*'3-DONNEE DE BASE'!$E$83</f>
        <v>86425.283468673617</v>
      </c>
      <c r="I26" s="425">
        <f>+D26*'3-DONNEE DE BASE'!$D$78*'3-DONNEE DE BASE'!$G$79*'3-DONNEE DE BASE'!$E$82</f>
        <v>106138.50836384663</v>
      </c>
      <c r="J26" s="429">
        <f t="shared" si="1"/>
        <v>192563.79183252025</v>
      </c>
      <c r="K26" s="673">
        <f t="shared" si="2"/>
        <v>344439.06989336421</v>
      </c>
      <c r="M26" s="9"/>
      <c r="N26" s="9"/>
    </row>
    <row r="27" spans="1:14" ht="15.75">
      <c r="A27" s="2"/>
      <c r="B27" s="668">
        <f t="shared" si="3"/>
        <v>2027</v>
      </c>
      <c r="C27" s="394">
        <f>+'3-DONNEE DE BASE'!$E$8*(1+'3-DONNEE DE BASE'!$F$8)^8</f>
        <v>72381.174905014137</v>
      </c>
      <c r="D27" s="571">
        <f>+'3-DONNEE DE BASE'!$E$9*(1+'3-DONNEE DE BASE'!$F$9)^8+'3-DONNEE DE BASE'!$E$10*(1+'3-DONNEE DE BASE'!$F$10)^8</f>
        <v>35514.342216841804</v>
      </c>
      <c r="E27" s="671">
        <f>+C27*'3-DONNEE DE BASE'!$D$73*'3-DONNEE DE BASE'!$E$74*'3-DONNEE DE BASE'!$G$75</f>
        <v>361905.87452507066</v>
      </c>
      <c r="F27" s="425">
        <f>+D27*'3-DONNEE DE BASE'!$D$73*'3-DONNEE DE BASE'!$E$74*'3-DONNEE DE BASE'!$G$75</f>
        <v>177571.71108420903</v>
      </c>
      <c r="G27" s="426">
        <f t="shared" si="0"/>
        <v>539477.58560927969</v>
      </c>
      <c r="H27" s="671">
        <f>+C27*'3-DONNEE DE BASE'!$D$77*'3-DONNEE DE BASE'!$G$80*'3-DONNEE DE BASE'!$E$83</f>
        <v>86857.409886016976</v>
      </c>
      <c r="I27" s="425">
        <f>+D27*'3-DONNEE DE BASE'!$D$78*'3-DONNEE DE BASE'!$G$79*'3-DONNEE DE BASE'!$E$82</f>
        <v>106543.02665052543</v>
      </c>
      <c r="J27" s="429">
        <f t="shared" si="1"/>
        <v>193400.4365365424</v>
      </c>
      <c r="K27" s="673">
        <f t="shared" si="2"/>
        <v>346077.14907273732</v>
      </c>
      <c r="M27" s="9"/>
      <c r="N27" s="9"/>
    </row>
    <row r="28" spans="1:14" ht="15.75">
      <c r="A28" s="2"/>
      <c r="B28" s="668">
        <f t="shared" si="3"/>
        <v>2028</v>
      </c>
      <c r="C28" s="394">
        <f>+'3-DONNEE DE BASE'!$E$8*(1+'3-DONNEE DE BASE'!$F$8)^9</f>
        <v>72743.080779539203</v>
      </c>
      <c r="D28" s="571">
        <f>+'3-DONNEE DE BASE'!$E$9*(1+'3-DONNEE DE BASE'!$F$9)^9+'3-DONNEE DE BASE'!$E$10*(1+'3-DONNEE DE BASE'!$F$10)^9</f>
        <v>35649.700967703517</v>
      </c>
      <c r="E28" s="671">
        <f>+C28*'3-DONNEE DE BASE'!$D$73*'3-DONNEE DE BASE'!$E$74*'3-DONNEE DE BASE'!$G$75</f>
        <v>363715.403897696</v>
      </c>
      <c r="F28" s="425">
        <f>+D28*'3-DONNEE DE BASE'!$D$73*'3-DONNEE DE BASE'!$E$74*'3-DONNEE DE BASE'!$G$75</f>
        <v>178248.50483851763</v>
      </c>
      <c r="G28" s="426">
        <f t="shared" si="0"/>
        <v>541963.90873621358</v>
      </c>
      <c r="H28" s="671">
        <f>+C28*'3-DONNEE DE BASE'!$D$77*'3-DONNEE DE BASE'!$G$80*'3-DONNEE DE BASE'!$E$83</f>
        <v>87291.696935447049</v>
      </c>
      <c r="I28" s="425">
        <f>+D28*'3-DONNEE DE BASE'!$D$78*'3-DONNEE DE BASE'!$G$79*'3-DONNEE DE BASE'!$E$82</f>
        <v>106949.10290311056</v>
      </c>
      <c r="J28" s="429">
        <f t="shared" si="1"/>
        <v>194240.79983855761</v>
      </c>
      <c r="K28" s="673">
        <f t="shared" si="2"/>
        <v>347723.10889765597</v>
      </c>
      <c r="M28" s="9"/>
      <c r="N28" s="9"/>
    </row>
    <row r="29" spans="1:14" ht="15.75">
      <c r="A29" s="2"/>
      <c r="B29" s="668">
        <f t="shared" si="3"/>
        <v>2029</v>
      </c>
      <c r="C29" s="394">
        <f>+'3-DONNEE DE BASE'!$E$8*(1+'3-DONNEE DE BASE'!$F$8)^10</f>
        <v>73106.796183436891</v>
      </c>
      <c r="D29" s="571">
        <f>+'3-DONNEE DE BASE'!$E$9*(1+'3-DONNEE DE BASE'!$F$9)^10+'3-DONNEE DE BASE'!$E$10*(1+'3-DONNEE DE BASE'!$F$10)^10</f>
        <v>35785.581057714662</v>
      </c>
      <c r="E29" s="671">
        <f>+C29*'3-DONNEE DE BASE'!$D$73*'3-DONNEE DE BASE'!$E$74*'3-DONNEE DE BASE'!$G$75</f>
        <v>365533.98091718444</v>
      </c>
      <c r="F29" s="425">
        <f>+D29*'3-DONNEE DE BASE'!$D$73*'3-DONNEE DE BASE'!$E$74*'3-DONNEE DE BASE'!$G$75</f>
        <v>178927.9052885733</v>
      </c>
      <c r="G29" s="426">
        <f t="shared" si="0"/>
        <v>544461.88620575774</v>
      </c>
      <c r="H29" s="671">
        <f>+C29*'3-DONNEE DE BASE'!$D$77*'3-DONNEE DE BASE'!$G$80*'3-DONNEE DE BASE'!$E$83</f>
        <v>87728.155420124269</v>
      </c>
      <c r="I29" s="425">
        <f>+D29*'3-DONNEE DE BASE'!$D$78*'3-DONNEE DE BASE'!$G$79*'3-DONNEE DE BASE'!$E$82</f>
        <v>107356.74317314399</v>
      </c>
      <c r="J29" s="429">
        <f t="shared" si="1"/>
        <v>195084.89859326824</v>
      </c>
      <c r="K29" s="673">
        <f t="shared" si="2"/>
        <v>349376.98761248949</v>
      </c>
      <c r="M29" s="9"/>
      <c r="N29" s="9"/>
    </row>
    <row r="30" spans="1:14" ht="15.75">
      <c r="A30" s="2"/>
      <c r="B30" s="668">
        <f t="shared" si="3"/>
        <v>2030</v>
      </c>
      <c r="C30" s="394">
        <f>+'3-DONNEE DE BASE'!$E$8*(1+'3-DONNEE DE BASE'!$F$8)^11</f>
        <v>73472.330164354062</v>
      </c>
      <c r="D30" s="571">
        <f>+'3-DONNEE DE BASE'!$E$9*(1+'3-DONNEE DE BASE'!$F$9)^11+'3-DONNEE DE BASE'!$E$10*(1+'3-DONNEE DE BASE'!$F$10)^11</f>
        <v>35921.984511944276</v>
      </c>
      <c r="E30" s="671">
        <f>+C30*'3-DONNEE DE BASE'!$D$73*'3-DONNEE DE BASE'!$E$74*'3-DONNEE DE BASE'!$G$75</f>
        <v>367361.65082177031</v>
      </c>
      <c r="F30" s="425">
        <f>+D30*'3-DONNEE DE BASE'!$D$73*'3-DONNEE DE BASE'!$E$74*'3-DONNEE DE BASE'!$G$75</f>
        <v>179609.9225597214</v>
      </c>
      <c r="G30" s="426">
        <f t="shared" si="0"/>
        <v>546971.5733814917</v>
      </c>
      <c r="H30" s="671">
        <f>+C30*'3-DONNEE DE BASE'!$D$77*'3-DONNEE DE BASE'!$G$80*'3-DONNEE DE BASE'!$E$83</f>
        <v>88166.796197224889</v>
      </c>
      <c r="I30" s="425">
        <f>+D30*'3-DONNEE DE BASE'!$D$78*'3-DONNEE DE BASE'!$G$79*'3-DONNEE DE BASE'!$E$82</f>
        <v>107765.95353583283</v>
      </c>
      <c r="J30" s="429">
        <f t="shared" si="1"/>
        <v>195932.74973305772</v>
      </c>
      <c r="K30" s="673">
        <f t="shared" si="2"/>
        <v>351038.82364843402</v>
      </c>
      <c r="M30" s="9"/>
      <c r="N30" s="9"/>
    </row>
    <row r="31" spans="1:14" ht="15.6" customHeight="1">
      <c r="A31" s="2"/>
      <c r="B31" s="668">
        <f t="shared" si="3"/>
        <v>2031</v>
      </c>
      <c r="C31" s="394">
        <f>+'3-DONNEE DE BASE'!$E$8*(1+'3-DONNEE DE BASE'!$F$8)^12</f>
        <v>73839.691815175815</v>
      </c>
      <c r="D31" s="571">
        <f>+'3-DONNEE DE BASE'!$E$9*(1+'3-DONNEE DE BASE'!$F$9)^12+'3-DONNEE DE BASE'!$E$10*(1+'3-DONNEE DE BASE'!$F$10)^12</f>
        <v>36058.913363380801</v>
      </c>
      <c r="E31" s="671">
        <f>+C31*'3-DONNEE DE BASE'!$D$73*'3-DONNEE DE BASE'!$E$74*'3-DONNEE DE BASE'!$G$75</f>
        <v>369198.45907587907</v>
      </c>
      <c r="F31" s="425">
        <f>+D31*'3-DONNEE DE BASE'!$D$73*'3-DONNEE DE BASE'!$E$74*'3-DONNEE DE BASE'!$G$75</f>
        <v>180294.566816904</v>
      </c>
      <c r="G31" s="426">
        <f t="shared" si="0"/>
        <v>549493.02589278307</v>
      </c>
      <c r="H31" s="671">
        <f>+C31*'3-DONNEE DE BASE'!$D$77*'3-DONNEE DE BASE'!$G$80*'3-DONNEE DE BASE'!$E$83</f>
        <v>88607.63017821098</v>
      </c>
      <c r="I31" s="425">
        <f>+D31*'3-DONNEE DE BASE'!$D$78*'3-DONNEE DE BASE'!$G$79*'3-DONNEE DE BASE'!$E$82</f>
        <v>108176.74009014241</v>
      </c>
      <c r="J31" s="429">
        <f t="shared" si="1"/>
        <v>196784.37026835338</v>
      </c>
      <c r="K31" s="673">
        <f t="shared" si="2"/>
        <v>352708.6556244297</v>
      </c>
      <c r="M31" s="9"/>
      <c r="N31" s="9"/>
    </row>
    <row r="32" spans="1:14" ht="15.75">
      <c r="B32" s="668">
        <f t="shared" si="3"/>
        <v>2032</v>
      </c>
      <c r="C32" s="394">
        <f>+'3-DONNEE DE BASE'!$E$8*(1+'3-DONNEE DE BASE'!$F$8)^13</f>
        <v>74208.89027425168</v>
      </c>
      <c r="D32" s="571">
        <f>+'3-DONNEE DE BASE'!$E$9*(1+'3-DONNEE DE BASE'!$F$9)^13+'3-DONNEE DE BASE'!$E$10*(1+'3-DONNEE DE BASE'!$F$10)^13</f>
        <v>36196.369652963243</v>
      </c>
      <c r="E32" s="671">
        <f>+C32*'3-DONNEE DE BASE'!$D$73*'3-DONNEE DE BASE'!$E$74*'3-DONNEE DE BASE'!$G$75</f>
        <v>371044.45137125842</v>
      </c>
      <c r="F32" s="425">
        <f>+D32*'3-DONNEE DE BASE'!$D$73*'3-DONNEE DE BASE'!$E$74*'3-DONNEE DE BASE'!$G$75</f>
        <v>180981.84826481622</v>
      </c>
      <c r="G32" s="426">
        <f t="shared" si="0"/>
        <v>552026.29963607457</v>
      </c>
      <c r="H32" s="671">
        <f>+C32*'3-DONNEE DE BASE'!$D$77*'3-DONNEE DE BASE'!$G$80*'3-DONNEE DE BASE'!$E$83</f>
        <v>89050.668329102031</v>
      </c>
      <c r="I32" s="425">
        <f>+D32*'3-DONNEE DE BASE'!$D$78*'3-DONNEE DE BASE'!$G$79*'3-DONNEE DE BASE'!$E$82</f>
        <v>108589.10895888973</v>
      </c>
      <c r="J32" s="429">
        <f t="shared" si="1"/>
        <v>197639.77728799178</v>
      </c>
      <c r="K32" s="673">
        <f t="shared" si="2"/>
        <v>354386.5223480828</v>
      </c>
      <c r="M32" s="9"/>
      <c r="N32" s="9"/>
    </row>
    <row r="33" spans="2:14" ht="15.75">
      <c r="B33" s="668">
        <f t="shared" si="3"/>
        <v>2033</v>
      </c>
      <c r="C33" s="394">
        <f>+'3-DONNEE DE BASE'!$E$8*(1+'3-DONNEE DE BASE'!$F$8)^14</f>
        <v>74579.934725622923</v>
      </c>
      <c r="D33" s="571">
        <f>+'3-DONNEE DE BASE'!$E$9*(1+'3-DONNEE DE BASE'!$F$9)^14+'3-DONNEE DE BASE'!$E$10*(1+'3-DONNEE DE BASE'!$F$10)^14</f>
        <v>36334.355429612398</v>
      </c>
      <c r="E33" s="671">
        <f>+C33*'3-DONNEE DE BASE'!$D$73*'3-DONNEE DE BASE'!$E$74*'3-DONNEE DE BASE'!$G$75</f>
        <v>372899.67362811463</v>
      </c>
      <c r="F33" s="425">
        <f>+D33*'3-DONNEE DE BASE'!$D$73*'3-DONNEE DE BASE'!$E$74*'3-DONNEE DE BASE'!$G$75</f>
        <v>181671.77714806198</v>
      </c>
      <c r="G33" s="426">
        <f t="shared" si="0"/>
        <v>554571.45077617664</v>
      </c>
      <c r="H33" s="671">
        <f>+C33*'3-DONNEE DE BASE'!$D$77*'3-DONNEE DE BASE'!$G$80*'3-DONNEE DE BASE'!$E$83</f>
        <v>89495.921670747513</v>
      </c>
      <c r="I33" s="425">
        <f>+D33*'3-DONNEE DE BASE'!$D$78*'3-DONNEE DE BASE'!$G$79*'3-DONNEE DE BASE'!$E$82</f>
        <v>109003.0662888372</v>
      </c>
      <c r="J33" s="429">
        <f t="shared" si="1"/>
        <v>198498.98795958472</v>
      </c>
      <c r="K33" s="673">
        <f t="shared" si="2"/>
        <v>356072.46281659196</v>
      </c>
      <c r="M33" s="9"/>
      <c r="N33" s="9"/>
    </row>
    <row r="34" spans="2:14" ht="15.75">
      <c r="B34" s="668">
        <f t="shared" si="3"/>
        <v>2034</v>
      </c>
      <c r="C34" s="394">
        <f>+'3-DONNEE DE BASE'!$E$8*(1+'3-DONNEE DE BASE'!$F$8)^15</f>
        <v>74952.83439925102</v>
      </c>
      <c r="D34" s="571">
        <f>+'3-DONNEE DE BASE'!$E$9*(1+'3-DONNEE DE BASE'!$F$9)^15+'3-DONNEE DE BASE'!$E$10*(1+'3-DONNEE DE BASE'!$F$10)^15</f>
        <v>36472.872750262257</v>
      </c>
      <c r="E34" s="671">
        <f>+C34*'3-DONNEE DE BASE'!$D$73*'3-DONNEE DE BASE'!$E$74*'3-DONNEE DE BASE'!$G$75</f>
        <v>374764.17199625511</v>
      </c>
      <c r="F34" s="425">
        <f>+D34*'3-DONNEE DE BASE'!$D$73*'3-DONNEE DE BASE'!$E$74*'3-DONNEE DE BASE'!$G$75</f>
        <v>182364.36375131129</v>
      </c>
      <c r="G34" s="426">
        <f t="shared" si="0"/>
        <v>557128.53574756638</v>
      </c>
      <c r="H34" s="671">
        <f>+C34*'3-DONNEE DE BASE'!$D$77*'3-DONNEE DE BASE'!$G$80*'3-DONNEE DE BASE'!$E$83</f>
        <v>89943.401279101236</v>
      </c>
      <c r="I34" s="425">
        <f>+D34*'3-DONNEE DE BASE'!$D$78*'3-DONNEE DE BASE'!$G$79*'3-DONNEE DE BASE'!$E$82</f>
        <v>109418.61825078679</v>
      </c>
      <c r="J34" s="429">
        <f t="shared" si="1"/>
        <v>199362.01952988803</v>
      </c>
      <c r="K34" s="673">
        <f t="shared" si="2"/>
        <v>357766.51621767832</v>
      </c>
      <c r="M34" s="9"/>
      <c r="N34" s="9"/>
    </row>
    <row r="35" spans="2:14" ht="15.75">
      <c r="B35" s="668">
        <f t="shared" si="3"/>
        <v>2035</v>
      </c>
      <c r="C35" s="394">
        <f>+'3-DONNEE DE BASE'!$E$8*(1+'3-DONNEE DE BASE'!$F$8)^16</f>
        <v>75327.598571247276</v>
      </c>
      <c r="D35" s="571">
        <f>+'3-DONNEE DE BASE'!$E$9*(1+'3-DONNEE DE BASE'!$F$9)^16+'3-DONNEE DE BASE'!$E$10*(1+'3-DONNEE DE BASE'!$F$10)^16</f>
        <v>36611.923679891515</v>
      </c>
      <c r="E35" s="671">
        <f>+C35*'3-DONNEE DE BASE'!$D$73*'3-DONNEE DE BASE'!$E$74*'3-DONNEE DE BASE'!$G$75</f>
        <v>376637.99285623641</v>
      </c>
      <c r="F35" s="425">
        <f>+D35*'3-DONNEE DE BASE'!$D$73*'3-DONNEE DE BASE'!$E$74*'3-DONNEE DE BASE'!$G$75</f>
        <v>183059.61839945757</v>
      </c>
      <c r="G35" s="426">
        <f t="shared" si="0"/>
        <v>559697.61125569395</v>
      </c>
      <c r="H35" s="671">
        <f>+C35*'3-DONNEE DE BASE'!$D$77*'3-DONNEE DE BASE'!$G$80*'3-DONNEE DE BASE'!$E$83</f>
        <v>90393.118285496748</v>
      </c>
      <c r="I35" s="425">
        <f>+D35*'3-DONNEE DE BASE'!$D$78*'3-DONNEE DE BASE'!$G$79*'3-DONNEE DE BASE'!$E$82</f>
        <v>109835.77103967455</v>
      </c>
      <c r="J35" s="429">
        <f t="shared" si="1"/>
        <v>200228.8893251713</v>
      </c>
      <c r="K35" s="673">
        <f t="shared" si="2"/>
        <v>359468.72193052265</v>
      </c>
      <c r="M35" s="9"/>
      <c r="N35" s="9"/>
    </row>
    <row r="36" spans="2:14" ht="15.75">
      <c r="B36" s="668">
        <f t="shared" si="3"/>
        <v>2036</v>
      </c>
      <c r="C36" s="394">
        <f>+'3-DONNEE DE BASE'!$E$8*(1+'3-DONNEE DE BASE'!$F$8)^17</f>
        <v>75704.236564103499</v>
      </c>
      <c r="D36" s="571">
        <f>+'3-DONNEE DE BASE'!$E$9*(1+'3-DONNEE DE BASE'!$F$9)^17+'3-DONNEE DE BASE'!$E$10*(1+'3-DONNEE DE BASE'!$F$10)^17</f>
        <v>36751.510291555176</v>
      </c>
      <c r="E36" s="671">
        <f>+C36*'3-DONNEE DE BASE'!$D$73*'3-DONNEE DE BASE'!$E$74*'3-DONNEE DE BASE'!$G$75</f>
        <v>378521.18282051751</v>
      </c>
      <c r="F36" s="425">
        <f>+D36*'3-DONNEE DE BASE'!$D$73*'3-DONNEE DE BASE'!$E$74*'3-DONNEE DE BASE'!$G$75</f>
        <v>183757.55145777587</v>
      </c>
      <c r="G36" s="426">
        <f t="shared" si="0"/>
        <v>562278.73427829333</v>
      </c>
      <c r="H36" s="671">
        <f>+C36*'3-DONNEE DE BASE'!$D$77*'3-DONNEE DE BASE'!$G$80*'3-DONNEE DE BASE'!$E$83</f>
        <v>90845.083876924211</v>
      </c>
      <c r="I36" s="425">
        <f>+D36*'3-DONNEE DE BASE'!$D$78*'3-DONNEE DE BASE'!$G$79*'3-DONNEE DE BASE'!$E$82</f>
        <v>110254.53087466554</v>
      </c>
      <c r="J36" s="429">
        <f t="shared" si="1"/>
        <v>201099.61475158975</v>
      </c>
      <c r="K36" s="673">
        <f t="shared" si="2"/>
        <v>361179.11952670361</v>
      </c>
      <c r="M36" s="9"/>
      <c r="N36" s="9"/>
    </row>
    <row r="37" spans="2:14" ht="15.75">
      <c r="B37" s="668">
        <f t="shared" si="3"/>
        <v>2037</v>
      </c>
      <c r="C37" s="394">
        <f>+'3-DONNEE DE BASE'!$E$8*(1+'3-DONNEE DE BASE'!$F$8)^18</f>
        <v>76082.757746923991</v>
      </c>
      <c r="D37" s="571">
        <f>+'3-DONNEE DE BASE'!$E$9*(1+'3-DONNEE DE BASE'!$F$9)^18+'3-DONNEE DE BASE'!$E$10*(1+'3-DONNEE DE BASE'!$F$10)^18</f>
        <v>36891.634666416321</v>
      </c>
      <c r="E37" s="671">
        <f>+C37*'3-DONNEE DE BASE'!$D$73*'3-DONNEE DE BASE'!$E$74*'3-DONNEE DE BASE'!$G$75</f>
        <v>380413.78873462003</v>
      </c>
      <c r="F37" s="425">
        <f>+D37*'3-DONNEE DE BASE'!$D$73*'3-DONNEE DE BASE'!$E$74*'3-DONNEE DE BASE'!$G$75</f>
        <v>184458.17333208161</v>
      </c>
      <c r="G37" s="426">
        <f t="shared" si="0"/>
        <v>564871.96206670161</v>
      </c>
      <c r="H37" s="671">
        <f>+C37*'3-DONNEE DE BASE'!$D$77*'3-DONNEE DE BASE'!$G$80*'3-DONNEE DE BASE'!$E$83</f>
        <v>91299.309296308813</v>
      </c>
      <c r="I37" s="425">
        <f>+D37*'3-DONNEE DE BASE'!$D$78*'3-DONNEE DE BASE'!$G$79*'3-DONNEE DE BASE'!$E$82</f>
        <v>110674.90399924896</v>
      </c>
      <c r="J37" s="429">
        <f t="shared" si="1"/>
        <v>201974.21329555777</v>
      </c>
      <c r="K37" s="673">
        <f t="shared" si="2"/>
        <v>362897.74877114384</v>
      </c>
      <c r="M37" s="9"/>
      <c r="N37" s="9"/>
    </row>
    <row r="38" spans="2:14" ht="15.75">
      <c r="B38" s="668">
        <f t="shared" si="3"/>
        <v>2038</v>
      </c>
      <c r="C38" s="394">
        <f>+'3-DONNEE DE BASE'!$E$8*(1+'3-DONNEE DE BASE'!$F$8)^19</f>
        <v>76463.171535658606</v>
      </c>
      <c r="D38" s="571">
        <f>+'3-DONNEE DE BASE'!$E$9*(1+'3-DONNEE DE BASE'!$F$9)^19+'3-DONNEE DE BASE'!$E$10*(1+'3-DONNEE DE BASE'!$F$10)^19</f>
        <v>37032.298893777996</v>
      </c>
      <c r="E38" s="671">
        <f>+C38*'3-DONNEE DE BASE'!$D$73*'3-DONNEE DE BASE'!$E$74*'3-DONNEE DE BASE'!$G$75</f>
        <v>382315.85767829302</v>
      </c>
      <c r="F38" s="425">
        <f>+D38*'3-DONNEE DE BASE'!$D$73*'3-DONNEE DE BASE'!$E$74*'3-DONNEE DE BASE'!$G$75</f>
        <v>185161.49446888999</v>
      </c>
      <c r="G38" s="426">
        <f t="shared" si="0"/>
        <v>567477.35214718303</v>
      </c>
      <c r="H38" s="671">
        <f>+C38*'3-DONNEE DE BASE'!$D$77*'3-DONNEE DE BASE'!$G$80*'3-DONNEE DE BASE'!$E$83</f>
        <v>91755.805842790331</v>
      </c>
      <c r="I38" s="425">
        <f>+D38*'3-DONNEE DE BASE'!$D$78*'3-DONNEE DE BASE'!$G$79*'3-DONNEE DE BASE'!$E$82</f>
        <v>111096.89668133401</v>
      </c>
      <c r="J38" s="429">
        <f t="shared" si="1"/>
        <v>202852.70252412435</v>
      </c>
      <c r="K38" s="673">
        <f t="shared" si="2"/>
        <v>364624.64962305868</v>
      </c>
      <c r="M38" s="9"/>
      <c r="N38" s="9"/>
    </row>
    <row r="39" spans="2:14" ht="15.75">
      <c r="B39" s="668">
        <f t="shared" si="3"/>
        <v>2039</v>
      </c>
      <c r="C39" s="394">
        <f>+'3-DONNEE DE BASE'!$E$8*(1+'3-DONNEE DE BASE'!$F$8)^20</f>
        <v>76845.487393336894</v>
      </c>
      <c r="D39" s="571">
        <f>+'3-DONNEE DE BASE'!$E$9*(1+'3-DONNEE DE BASE'!$F$9)^20+'3-DONNEE DE BASE'!$E$10*(1+'3-DONNEE DE BASE'!$F$10)^20</f>
        <v>37173.505071115207</v>
      </c>
      <c r="E39" s="671">
        <f>+C39*'3-DONNEE DE BASE'!$D$73*'3-DONNEE DE BASE'!$E$74*'3-DONNEE DE BASE'!$G$75</f>
        <v>384227.43696668447</v>
      </c>
      <c r="F39" s="425">
        <f>+D39*'3-DONNEE DE BASE'!$D$73*'3-DONNEE DE BASE'!$E$74*'3-DONNEE DE BASE'!$G$75</f>
        <v>185867.52535557604</v>
      </c>
      <c r="G39" s="426">
        <f t="shared" si="0"/>
        <v>570094.96232226049</v>
      </c>
      <c r="H39" s="671">
        <f>+C39*'3-DONNEE DE BASE'!$D$77*'3-DONNEE DE BASE'!$G$80*'3-DONNEE DE BASE'!$E$83</f>
        <v>92214.584872004285</v>
      </c>
      <c r="I39" s="425">
        <f>+D39*'3-DONNEE DE BASE'!$D$78*'3-DONNEE DE BASE'!$G$79*'3-DONNEE DE BASE'!$E$82</f>
        <v>111520.51521334563</v>
      </c>
      <c r="J39" s="429">
        <f t="shared" si="1"/>
        <v>203735.10008534993</v>
      </c>
      <c r="K39" s="673">
        <f t="shared" si="2"/>
        <v>366359.86223691056</v>
      </c>
      <c r="M39" s="9"/>
      <c r="N39" s="9"/>
    </row>
    <row r="40" spans="2:14" ht="15.75">
      <c r="B40" s="668">
        <f t="shared" si="3"/>
        <v>2040</v>
      </c>
      <c r="C40" s="394">
        <f>+'3-DONNEE DE BASE'!$E$8*(1+'3-DONNEE DE BASE'!$F$8)^21</f>
        <v>77229.714830303565</v>
      </c>
      <c r="D40" s="571">
        <f>+'3-DONNEE DE BASE'!$E$9*(1+'3-DONNEE DE BASE'!$F$9)^21+'3-DONNEE DE BASE'!$E$10*(1+'3-DONNEE DE BASE'!$F$10)^21</f>
        <v>37315.25530410705</v>
      </c>
      <c r="E40" s="671">
        <f>+C40*'3-DONNEE DE BASE'!$D$73*'3-DONNEE DE BASE'!$E$74*'3-DONNEE DE BASE'!$G$75</f>
        <v>386148.57415151782</v>
      </c>
      <c r="F40" s="425">
        <f>+D40*'3-DONNEE DE BASE'!$D$73*'3-DONNEE DE BASE'!$E$74*'3-DONNEE DE BASE'!$G$75</f>
        <v>186576.27652053523</v>
      </c>
      <c r="G40" s="426">
        <f t="shared" si="0"/>
        <v>572724.85067205306</v>
      </c>
      <c r="H40" s="671">
        <f>+C40*'3-DONNEE DE BASE'!$D$77*'3-DONNEE DE BASE'!$G$80*'3-DONNEE DE BASE'!$E$83</f>
        <v>92675.657796364278</v>
      </c>
      <c r="I40" s="425">
        <f>+D40*'3-DONNEE DE BASE'!$D$78*'3-DONNEE DE BASE'!$G$79*'3-DONNEE DE BASE'!$E$82</f>
        <v>111945.76591232115</v>
      </c>
      <c r="J40" s="429">
        <f t="shared" si="1"/>
        <v>204621.42370868544</v>
      </c>
      <c r="K40" s="673">
        <f t="shared" si="2"/>
        <v>368103.42696336762</v>
      </c>
      <c r="M40" s="9"/>
      <c r="N40" s="9"/>
    </row>
    <row r="41" spans="2:14" ht="16.5" thickBot="1">
      <c r="B41" s="668">
        <f t="shared" si="3"/>
        <v>2041</v>
      </c>
      <c r="C41" s="669">
        <f>+'3-DONNEE DE BASE'!$E$8*(1+'3-DONNEE DE BASE'!$F$8)^22</f>
        <v>77615.863404455071</v>
      </c>
      <c r="D41" s="571">
        <f>+'3-DONNEE DE BASE'!$E$9*(1+'3-DONNEE DE BASE'!$F$9)^22+'3-DONNEE DE BASE'!$E$10*(1+'3-DONNEE DE BASE'!$F$10)^22</f>
        <v>37457.551706668979</v>
      </c>
      <c r="E41" s="671">
        <f>+C41*'3-DONNEE DE BASE'!$D$73*'3-DONNEE DE BASE'!$E$74*'3-DONNEE DE BASE'!$G$75</f>
        <v>388079.31702227535</v>
      </c>
      <c r="F41" s="425">
        <f>+D41*'3-DONNEE DE BASE'!$D$73*'3-DONNEE DE BASE'!$E$74*'3-DONNEE DE BASE'!$G$75</f>
        <v>187287.7585333449</v>
      </c>
      <c r="G41" s="426">
        <f t="shared" si="0"/>
        <v>575367.07555562025</v>
      </c>
      <c r="H41" s="671">
        <f>+C41*'3-DONNEE DE BASE'!$D$77*'3-DONNEE DE BASE'!$G$80*'3-DONNEE DE BASE'!$E$83</f>
        <v>93139.036085346102</v>
      </c>
      <c r="I41" s="425">
        <f>+D41*'3-DONNEE DE BASE'!$D$78*'3-DONNEE DE BASE'!$G$79*'3-DONNEE DE BASE'!$E$82</f>
        <v>112372.65512000695</v>
      </c>
      <c r="J41" s="429">
        <f t="shared" si="1"/>
        <v>205511.69120535307</v>
      </c>
      <c r="K41" s="673">
        <f t="shared" si="2"/>
        <v>369855.38435026718</v>
      </c>
      <c r="M41" s="9"/>
      <c r="N41" s="9"/>
    </row>
    <row r="42" spans="2:14" ht="16.5" thickBot="1">
      <c r="B42" s="663">
        <f t="shared" si="3"/>
        <v>2042</v>
      </c>
      <c r="C42" s="670">
        <f>+'3-DONNEE DE BASE'!$E$8*(1+'3-DONNEE DE BASE'!$F$8)^23</f>
        <v>78003.942721477331</v>
      </c>
      <c r="D42" s="657">
        <f>+'3-DONNEE DE BASE'!$E$9*(1+'3-DONNEE DE BASE'!$F$9)^23+'3-DONNEE DE BASE'!$E$10*(1+'3-DONNEE DE BASE'!$F$10)^23</f>
        <v>37600.396400985199</v>
      </c>
      <c r="E42" s="672">
        <f>+C42*'3-DONNEE DE BASE'!$D$73*'3-DONNEE DE BASE'!$E$74*'3-DONNEE DE BASE'!$G$75</f>
        <v>390019.71360738669</v>
      </c>
      <c r="F42" s="664">
        <f>+D42*'3-DONNEE DE BASE'!$D$73*'3-DONNEE DE BASE'!$E$74*'3-DONNEE DE BASE'!$G$75</f>
        <v>188001.98200492599</v>
      </c>
      <c r="G42" s="527">
        <f t="shared" si="0"/>
        <v>578021.69561231264</v>
      </c>
      <c r="H42" s="672">
        <f>+C42*'3-DONNEE DE BASE'!$D$77*'3-DONNEE DE BASE'!$G$80*'3-DONNEE DE BASE'!$E$83</f>
        <v>93604.731265772803</v>
      </c>
      <c r="I42" s="664">
        <f>+D42*'3-DONNEE DE BASE'!$D$78*'3-DONNEE DE BASE'!$G$79*'3-DONNEE DE BASE'!$E$82</f>
        <v>112801.1892029556</v>
      </c>
      <c r="J42" s="433">
        <f t="shared" si="1"/>
        <v>206405.92046872841</v>
      </c>
      <c r="K42" s="674">
        <f t="shared" si="2"/>
        <v>371615.77514358424</v>
      </c>
      <c r="M42" s="9"/>
      <c r="N42" s="9"/>
    </row>
    <row r="43" spans="2:14">
      <c r="C43" s="337"/>
      <c r="L43" s="262"/>
    </row>
  </sheetData>
  <mergeCells count="21">
    <mergeCell ref="B5:G5"/>
    <mergeCell ref="B7:G7"/>
    <mergeCell ref="B8:G8"/>
    <mergeCell ref="B9:G9"/>
    <mergeCell ref="B15:G15"/>
    <mergeCell ref="B10:G10"/>
    <mergeCell ref="B11:G11"/>
    <mergeCell ref="B12:G12"/>
    <mergeCell ref="B13:G13"/>
    <mergeCell ref="B14:G14"/>
    <mergeCell ref="H20:J20"/>
    <mergeCell ref="H21:J21"/>
    <mergeCell ref="C18:J18"/>
    <mergeCell ref="K20:K22"/>
    <mergeCell ref="B16:G16"/>
    <mergeCell ref="C20:C22"/>
    <mergeCell ref="D20:D22"/>
    <mergeCell ref="B17:G17"/>
    <mergeCell ref="B20:B22"/>
    <mergeCell ref="E21:G21"/>
    <mergeCell ref="E20:G20"/>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dimension ref="B1:P48"/>
  <sheetViews>
    <sheetView workbookViewId="0">
      <selection activeCell="K48" sqref="K48"/>
    </sheetView>
  </sheetViews>
  <sheetFormatPr baseColWidth="10" defaultRowHeight="15"/>
  <cols>
    <col min="1" max="1" width="13.85546875" customWidth="1"/>
    <col min="2" max="2" width="15.85546875" style="1" customWidth="1"/>
    <col min="3" max="3" width="16" style="9" customWidth="1"/>
    <col min="4" max="4" width="16.140625" style="29" customWidth="1"/>
    <col min="5" max="5" width="13.85546875" style="29" customWidth="1"/>
    <col min="6" max="6" width="17.7109375" style="29" customWidth="1"/>
    <col min="7" max="7" width="24.28515625" style="33" customWidth="1"/>
    <col min="8" max="8" width="15.7109375" style="33" customWidth="1"/>
    <col min="10" max="11" width="12.7109375" bestFit="1" customWidth="1"/>
  </cols>
  <sheetData>
    <row r="1" spans="2:16" ht="21" customHeight="1"/>
    <row r="2" spans="2:16" ht="14.1" customHeight="1">
      <c r="B2" s="1185"/>
      <c r="C2" s="1185"/>
      <c r="D2" s="1185"/>
      <c r="E2" s="1185"/>
      <c r="F2" s="1185"/>
      <c r="G2" s="1185"/>
      <c r="H2" s="188"/>
    </row>
    <row r="3" spans="2:16">
      <c r="C3" s="32"/>
      <c r="D3" s="31"/>
      <c r="E3" s="31"/>
      <c r="F3" s="31"/>
      <c r="G3" s="34"/>
      <c r="H3" s="34"/>
    </row>
    <row r="4" spans="2:16" ht="24.95" customHeight="1" thickBot="1">
      <c r="C4" s="31"/>
      <c r="D4" s="31"/>
      <c r="E4" s="31"/>
      <c r="F4" s="31"/>
      <c r="G4" s="34"/>
      <c r="H4" s="34"/>
    </row>
    <row r="5" spans="2:16" ht="24.6" customHeight="1">
      <c r="B5" s="1188" t="s">
        <v>472</v>
      </c>
      <c r="C5" s="1189"/>
      <c r="D5" s="1189"/>
      <c r="E5" s="1189"/>
      <c r="F5" s="1189"/>
      <c r="G5" s="1190"/>
      <c r="H5" s="263"/>
    </row>
    <row r="6" spans="2:16" ht="24.6" customHeight="1">
      <c r="B6" s="1191" t="s">
        <v>283</v>
      </c>
      <c r="C6" s="1192"/>
      <c r="D6" s="1192"/>
      <c r="E6" s="1192"/>
      <c r="F6" s="1192"/>
      <c r="G6" s="1193"/>
      <c r="H6" s="263"/>
    </row>
    <row r="7" spans="2:16" ht="24" customHeight="1" thickBot="1">
      <c r="B7" s="1194" t="s">
        <v>282</v>
      </c>
      <c r="C7" s="1195"/>
      <c r="D7" s="1195"/>
      <c r="E7" s="1195"/>
      <c r="F7" s="1195"/>
      <c r="G7" s="1196"/>
      <c r="H7" s="263"/>
    </row>
    <row r="8" spans="2:16" ht="27.6" customHeight="1" thickBot="1">
      <c r="B8" s="135"/>
      <c r="C8" s="135"/>
      <c r="D8" s="135"/>
      <c r="E8" s="135"/>
      <c r="F8" s="135"/>
      <c r="G8" s="135"/>
      <c r="H8" s="135"/>
    </row>
    <row r="9" spans="2:16" s="137" customFormat="1" ht="24" customHeight="1" thickBot="1">
      <c r="B9" s="1197" t="s">
        <v>61</v>
      </c>
      <c r="C9" s="1198"/>
      <c r="D9" s="1198"/>
      <c r="E9" s="1198"/>
      <c r="F9" s="1199"/>
      <c r="G9" s="265"/>
      <c r="H9" s="265"/>
      <c r="I9" s="133"/>
      <c r="J9" s="133"/>
      <c r="K9" s="133"/>
      <c r="L9" s="133"/>
      <c r="M9" s="133"/>
      <c r="N9" s="133"/>
      <c r="O9" s="133"/>
      <c r="P9" s="133"/>
    </row>
    <row r="10" spans="2:16" ht="15.75" thickBot="1">
      <c r="B10" s="4"/>
      <c r="I10" s="2"/>
      <c r="J10" s="2"/>
      <c r="K10" s="2"/>
      <c r="L10" s="2"/>
      <c r="M10" s="2"/>
      <c r="N10" s="2"/>
      <c r="O10" s="2"/>
      <c r="P10" s="2"/>
    </row>
    <row r="11" spans="2:16" ht="29.1" customHeight="1">
      <c r="B11" s="894" t="s">
        <v>1</v>
      </c>
      <c r="C11" s="1186" t="s">
        <v>293</v>
      </c>
      <c r="D11" s="1186" t="s">
        <v>292</v>
      </c>
      <c r="E11" s="1186" t="s">
        <v>268</v>
      </c>
      <c r="F11" s="1186" t="s">
        <v>267</v>
      </c>
      <c r="G11" s="939" t="s">
        <v>266</v>
      </c>
      <c r="H11" s="199"/>
      <c r="I11" s="2"/>
      <c r="J11" s="2"/>
      <c r="K11" s="2"/>
      <c r="L11" s="2"/>
      <c r="M11" s="2"/>
      <c r="N11" s="2"/>
      <c r="O11" s="2"/>
      <c r="P11" s="2"/>
    </row>
    <row r="12" spans="2:16">
      <c r="B12" s="895"/>
      <c r="C12" s="1187"/>
      <c r="D12" s="1187"/>
      <c r="E12" s="1187"/>
      <c r="F12" s="1187"/>
      <c r="G12" s="940"/>
      <c r="H12" s="199"/>
      <c r="I12" s="2"/>
      <c r="J12" s="2"/>
      <c r="K12" s="2"/>
      <c r="L12" s="2"/>
      <c r="M12" s="2"/>
      <c r="N12" s="2"/>
      <c r="O12" s="2"/>
      <c r="P12" s="2"/>
    </row>
    <row r="13" spans="2:16" ht="35.1" customHeight="1">
      <c r="B13" s="895"/>
      <c r="C13" s="1187"/>
      <c r="D13" s="1187"/>
      <c r="E13" s="1187"/>
      <c r="F13" s="1187"/>
      <c r="G13" s="940"/>
      <c r="H13" s="205"/>
      <c r="I13" s="2"/>
      <c r="J13" s="2"/>
      <c r="K13" s="2"/>
      <c r="L13" s="2"/>
      <c r="M13" s="2"/>
      <c r="N13" s="2"/>
      <c r="O13" s="2"/>
      <c r="P13" s="2"/>
    </row>
    <row r="14" spans="2:16" ht="15.75">
      <c r="B14" s="427">
        <v>2020</v>
      </c>
      <c r="C14" s="667">
        <f>+'6-Cout économique du projet'!L64</f>
        <v>361429.24877093034</v>
      </c>
      <c r="D14" s="667">
        <v>0</v>
      </c>
      <c r="E14" s="667">
        <f t="shared" ref="E14:E19" si="0">+D14+C14</f>
        <v>361429.24877093034</v>
      </c>
      <c r="F14" s="667">
        <v>0</v>
      </c>
      <c r="G14" s="685">
        <f>+F14-E14</f>
        <v>-361429.24877093034</v>
      </c>
      <c r="H14" s="205"/>
      <c r="I14" s="2"/>
      <c r="J14" s="2"/>
      <c r="K14" s="2"/>
      <c r="L14" s="2"/>
      <c r="M14" s="2"/>
      <c r="N14" s="2"/>
      <c r="O14" s="2"/>
      <c r="P14" s="2"/>
    </row>
    <row r="15" spans="2:16" ht="15.75">
      <c r="B15" s="427">
        <f>+B14+1</f>
        <v>2021</v>
      </c>
      <c r="C15" s="667">
        <f>+'6-Cout économique du projet'!M64</f>
        <v>788834.05637796409</v>
      </c>
      <c r="D15" s="667">
        <v>0</v>
      </c>
      <c r="E15" s="667">
        <f t="shared" si="0"/>
        <v>788834.05637796409</v>
      </c>
      <c r="F15" s="667">
        <v>0</v>
      </c>
      <c r="G15" s="685">
        <f>+F15-E15</f>
        <v>-788834.05637796409</v>
      </c>
      <c r="H15" s="205"/>
      <c r="I15" s="2"/>
      <c r="J15" s="2"/>
      <c r="K15" s="2"/>
      <c r="L15" s="2"/>
      <c r="M15" s="2"/>
      <c r="N15" s="2"/>
      <c r="O15" s="2"/>
      <c r="P15" s="2"/>
    </row>
    <row r="16" spans="2:16" ht="15.75">
      <c r="B16" s="427">
        <f t="shared" ref="B16:B36" si="1">+B15+1</f>
        <v>2022</v>
      </c>
      <c r="C16" s="425">
        <f>+'6-Cout économique du projet'!N64</f>
        <v>244013.12416732311</v>
      </c>
      <c r="D16" s="425">
        <v>0</v>
      </c>
      <c r="E16" s="667">
        <f t="shared" si="0"/>
        <v>244013.12416732311</v>
      </c>
      <c r="F16" s="667">
        <v>0</v>
      </c>
      <c r="G16" s="685">
        <f>+F16-E16</f>
        <v>-244013.12416732311</v>
      </c>
      <c r="H16" s="205"/>
      <c r="I16" s="2"/>
      <c r="J16" s="2"/>
      <c r="K16" s="2"/>
      <c r="L16" s="2"/>
      <c r="M16" s="2"/>
      <c r="N16" s="2"/>
      <c r="O16" s="2"/>
      <c r="P16" s="2"/>
    </row>
    <row r="17" spans="2:16" ht="17.45" customHeight="1">
      <c r="B17" s="427">
        <f t="shared" si="1"/>
        <v>2023</v>
      </c>
      <c r="C17" s="686"/>
      <c r="D17" s="425">
        <f>+'7-Charges d''exp - économique'!F12</f>
        <v>96205.073622819007</v>
      </c>
      <c r="E17" s="667">
        <f t="shared" si="0"/>
        <v>96205.073622819007</v>
      </c>
      <c r="F17" s="667">
        <f>+'-9-  Bénéfice cout  d''évitemen '!K23</f>
        <v>339571.73656809039</v>
      </c>
      <c r="G17" s="685">
        <f>+F17-E17</f>
        <v>243366.66294527138</v>
      </c>
      <c r="H17" s="205"/>
      <c r="I17" s="2"/>
      <c r="J17" s="2"/>
      <c r="K17" s="2"/>
      <c r="L17" s="2"/>
      <c r="M17" s="2"/>
      <c r="N17" s="2"/>
      <c r="O17" s="2"/>
      <c r="P17" s="2"/>
    </row>
    <row r="18" spans="2:16" ht="15.6" customHeight="1">
      <c r="B18" s="427">
        <f t="shared" si="1"/>
        <v>2024</v>
      </c>
      <c r="C18" s="686"/>
      <c r="D18" s="425">
        <f>+'7-Charges d''exp - économique'!F13</f>
        <v>96832.49801601129</v>
      </c>
      <c r="E18" s="667">
        <f t="shared" si="0"/>
        <v>96832.49801601129</v>
      </c>
      <c r="F18" s="667">
        <f>+'-9-  Bénéfice cout  d''évitemen '!K24</f>
        <v>341186.4014224392</v>
      </c>
      <c r="G18" s="687">
        <f t="shared" ref="G18:G36" si="2">+F18-E18</f>
        <v>244353.90340642791</v>
      </c>
      <c r="H18" s="206"/>
      <c r="I18" s="2"/>
      <c r="J18" s="2"/>
      <c r="K18" s="2"/>
      <c r="L18" s="2"/>
      <c r="M18" s="2"/>
      <c r="N18" s="2"/>
      <c r="O18" s="2"/>
      <c r="P18" s="2"/>
    </row>
    <row r="19" spans="2:16" ht="15.95" customHeight="1">
      <c r="B19" s="427">
        <f t="shared" si="1"/>
        <v>2025</v>
      </c>
      <c r="C19" s="686"/>
      <c r="D19" s="425">
        <f>+'7-Charges d''exp - économique'!F14</f>
        <v>97491.293628863205</v>
      </c>
      <c r="E19" s="667">
        <f t="shared" si="0"/>
        <v>97491.293628863205</v>
      </c>
      <c r="F19" s="667">
        <f>+'-9-  Bénéfice cout  d''évitemen '!K25</f>
        <v>342808.83330108132</v>
      </c>
      <c r="G19" s="687">
        <f t="shared" si="2"/>
        <v>245317.53967221812</v>
      </c>
      <c r="H19" s="206"/>
      <c r="I19" s="2"/>
      <c r="J19" s="2"/>
      <c r="K19" s="2"/>
      <c r="L19" s="2"/>
      <c r="M19" s="2"/>
      <c r="N19" s="2"/>
      <c r="O19" s="2"/>
      <c r="P19" s="2"/>
    </row>
    <row r="20" spans="2:16" ht="15.75">
      <c r="B20" s="427">
        <f t="shared" si="1"/>
        <v>2026</v>
      </c>
      <c r="C20" s="686"/>
      <c r="D20" s="425">
        <f>+'7-Charges d''exp - économique'!F15</f>
        <v>98183.029022357718</v>
      </c>
      <c r="E20" s="425">
        <f t="shared" ref="E20:E36" si="3">+D20+C20</f>
        <v>98183.029022357718</v>
      </c>
      <c r="F20" s="667">
        <f>+'-9-  Bénéfice cout  d''évitemen '!K26</f>
        <v>344439.06989336421</v>
      </c>
      <c r="G20" s="687">
        <f t="shared" si="2"/>
        <v>246256.04087100649</v>
      </c>
      <c r="H20" s="206"/>
      <c r="I20" s="2"/>
      <c r="J20" s="2"/>
      <c r="K20" s="2"/>
      <c r="L20" s="2"/>
      <c r="M20" s="2"/>
      <c r="N20" s="2"/>
      <c r="O20" s="2"/>
      <c r="P20" s="2"/>
    </row>
    <row r="21" spans="2:16" ht="15.75">
      <c r="B21" s="427">
        <f t="shared" si="1"/>
        <v>2027</v>
      </c>
      <c r="C21" s="425">
        <f>+'6-Cout économique du projet'!J102</f>
        <v>75760.073550000001</v>
      </c>
      <c r="D21" s="425">
        <f>+'7-Charges d''exp - économique'!F16</f>
        <v>98909.351185526961</v>
      </c>
      <c r="E21" s="425">
        <f t="shared" si="3"/>
        <v>174669.42473552696</v>
      </c>
      <c r="F21" s="667">
        <f>+'-9-  Bénéfice cout  d''évitemen '!K27</f>
        <v>346077.14907273732</v>
      </c>
      <c r="G21" s="687">
        <f t="shared" si="2"/>
        <v>171407.72433721035</v>
      </c>
      <c r="H21" s="206"/>
      <c r="I21" s="2"/>
      <c r="J21" s="2"/>
      <c r="K21" s="2"/>
      <c r="L21" s="2"/>
      <c r="M21" s="2"/>
      <c r="N21" s="2"/>
      <c r="O21" s="2"/>
      <c r="P21" s="2"/>
    </row>
    <row r="22" spans="2:16" ht="15.75">
      <c r="B22" s="427">
        <f t="shared" si="1"/>
        <v>2028</v>
      </c>
      <c r="C22" s="686"/>
      <c r="D22" s="425">
        <f>+'7-Charges d''exp - économique'!F17</f>
        <v>99671.989456854644</v>
      </c>
      <c r="E22" s="425">
        <f>+'7-Charges d''exp - économique'!F16</f>
        <v>98909.351185526961</v>
      </c>
      <c r="F22" s="667">
        <f>+'-9-  Bénéfice cout  d''évitemen '!K28</f>
        <v>347723.10889765597</v>
      </c>
      <c r="G22" s="687">
        <f t="shared" si="2"/>
        <v>248813.75771212901</v>
      </c>
      <c r="H22" s="206"/>
      <c r="I22" s="2"/>
      <c r="J22" s="2"/>
      <c r="K22" s="2"/>
      <c r="L22" s="2"/>
      <c r="M22" s="2"/>
      <c r="N22" s="2"/>
      <c r="O22" s="2"/>
      <c r="P22" s="2"/>
    </row>
    <row r="23" spans="2:16" ht="15.75">
      <c r="B23" s="427">
        <f t="shared" si="1"/>
        <v>2029</v>
      </c>
      <c r="C23" s="686"/>
      <c r="D23" s="425">
        <f>+'7-Charges d''exp - économique'!F18</f>
        <v>100472.75964174874</v>
      </c>
      <c r="E23" s="425">
        <f t="shared" si="3"/>
        <v>100472.75964174874</v>
      </c>
      <c r="F23" s="667">
        <f>+'-9-  Bénéfice cout  d''évitemen '!K29</f>
        <v>349376.98761248949</v>
      </c>
      <c r="G23" s="687">
        <f t="shared" si="2"/>
        <v>248904.22797074076</v>
      </c>
      <c r="H23" s="206"/>
      <c r="I23" s="2"/>
      <c r="J23" s="2"/>
      <c r="K23" s="2"/>
      <c r="L23" s="2"/>
      <c r="M23" s="2"/>
      <c r="N23" s="2"/>
      <c r="O23" s="2"/>
      <c r="P23" s="2"/>
    </row>
    <row r="24" spans="2:16" ht="15.75">
      <c r="B24" s="427">
        <f t="shared" si="1"/>
        <v>2030</v>
      </c>
      <c r="C24" s="686"/>
      <c r="D24" s="425">
        <f>+'7-Charges d''exp - économique'!F19</f>
        <v>101313.56833588751</v>
      </c>
      <c r="E24" s="425">
        <f t="shared" si="3"/>
        <v>101313.56833588751</v>
      </c>
      <c r="F24" s="667">
        <f>+'-9-  Bénéfice cout  d''évitemen '!K30</f>
        <v>351038.82364843402</v>
      </c>
      <c r="G24" s="687">
        <f t="shared" si="2"/>
        <v>249725.25531254651</v>
      </c>
      <c r="H24" s="206"/>
      <c r="I24" s="2"/>
      <c r="J24" s="2"/>
      <c r="K24" s="2"/>
      <c r="L24" s="2"/>
      <c r="M24" s="2"/>
      <c r="N24" s="2"/>
      <c r="O24" s="2"/>
      <c r="P24" s="2"/>
    </row>
    <row r="25" spans="2:16" ht="15.75">
      <c r="B25" s="427">
        <f t="shared" si="1"/>
        <v>2031</v>
      </c>
      <c r="C25" s="686"/>
      <c r="D25" s="425">
        <f>+'7-Charges d''exp - économique'!F20</f>
        <v>102196.41746473324</v>
      </c>
      <c r="E25" s="425">
        <f t="shared" si="3"/>
        <v>102196.41746473324</v>
      </c>
      <c r="F25" s="667">
        <f>+'-9-  Bénéfice cout  d''évitemen '!K31</f>
        <v>352708.6556244297</v>
      </c>
      <c r="G25" s="687">
        <f t="shared" si="2"/>
        <v>250512.23815969646</v>
      </c>
      <c r="H25" s="206"/>
      <c r="I25" s="208"/>
      <c r="J25" s="207"/>
      <c r="K25" s="2"/>
      <c r="L25" s="2"/>
      <c r="M25" s="2"/>
      <c r="N25" s="2"/>
      <c r="O25" s="2"/>
      <c r="P25" s="2"/>
    </row>
    <row r="26" spans="2:16" ht="15.75">
      <c r="B26" s="427">
        <f t="shared" si="1"/>
        <v>2032</v>
      </c>
      <c r="C26" s="425">
        <f>+'6-Cout économique du projet'!K102</f>
        <v>180445.03740730073</v>
      </c>
      <c r="D26" s="425">
        <f>+'7-Charges d''exp - économique'!F21</f>
        <v>103123.40905002126</v>
      </c>
      <c r="E26" s="425">
        <f t="shared" si="3"/>
        <v>283568.44645732199</v>
      </c>
      <c r="F26" s="667">
        <f>+'-9-  Bénéfice cout  d''évitemen '!K32</f>
        <v>354386.5223480828</v>
      </c>
      <c r="G26" s="687">
        <f t="shared" si="2"/>
        <v>70818.075890760811</v>
      </c>
      <c r="H26" s="206"/>
      <c r="I26" s="2"/>
      <c r="J26" s="25"/>
      <c r="K26" s="2"/>
      <c r="L26" s="2"/>
      <c r="M26" s="2"/>
      <c r="N26" s="2"/>
      <c r="O26" s="2"/>
      <c r="P26" s="2"/>
    </row>
    <row r="27" spans="2:16" ht="15.75">
      <c r="B27" s="427">
        <f t="shared" si="1"/>
        <v>2033</v>
      </c>
      <c r="C27" s="686"/>
      <c r="D27" s="425">
        <f>+'7-Charges d''exp - économique'!F22</f>
        <v>104096.75021457367</v>
      </c>
      <c r="E27" s="425">
        <f t="shared" si="3"/>
        <v>104096.75021457367</v>
      </c>
      <c r="F27" s="667">
        <f>+'-9-  Bénéfice cout  d''évitemen '!K33</f>
        <v>356072.46281659196</v>
      </c>
      <c r="G27" s="687">
        <f t="shared" si="2"/>
        <v>251975.71260201829</v>
      </c>
      <c r="H27" s="206"/>
      <c r="I27" s="2"/>
      <c r="J27" s="2"/>
      <c r="K27" s="2"/>
      <c r="L27" s="2"/>
      <c r="M27" s="2"/>
      <c r="N27" s="2"/>
      <c r="O27" s="2"/>
      <c r="P27" s="2"/>
    </row>
    <row r="28" spans="2:16" ht="15.75">
      <c r="B28" s="427">
        <f t="shared" si="1"/>
        <v>2034</v>
      </c>
      <c r="C28" s="686"/>
      <c r="D28" s="425">
        <f>+'7-Charges d''exp - économique'!F23</f>
        <v>105118.7584373537</v>
      </c>
      <c r="E28" s="425">
        <f t="shared" si="3"/>
        <v>105118.7584373537</v>
      </c>
      <c r="F28" s="667">
        <f>+'-9-  Bénéfice cout  d''évitemen '!K34</f>
        <v>357766.51621767832</v>
      </c>
      <c r="G28" s="687">
        <f t="shared" si="2"/>
        <v>252647.75778032461</v>
      </c>
      <c r="H28" s="206"/>
      <c r="I28" s="2"/>
      <c r="J28" s="208"/>
      <c r="K28" s="134"/>
      <c r="L28" s="2"/>
      <c r="M28" s="2"/>
      <c r="N28" s="2"/>
      <c r="O28" s="2"/>
      <c r="P28" s="2"/>
    </row>
    <row r="29" spans="2:16" ht="15.75">
      <c r="B29" s="427">
        <f t="shared" si="1"/>
        <v>2035</v>
      </c>
      <c r="C29" s="686"/>
      <c r="D29" s="425">
        <f>+'7-Charges d''exp - économique'!F24</f>
        <v>106191.86707127272</v>
      </c>
      <c r="E29" s="425">
        <f t="shared" si="3"/>
        <v>106191.86707127272</v>
      </c>
      <c r="F29" s="667">
        <f>+'-9-  Bénéfice cout  d''évitemen '!K35</f>
        <v>359468.72193052265</v>
      </c>
      <c r="G29" s="687">
        <f t="shared" si="2"/>
        <v>253276.85485924993</v>
      </c>
      <c r="H29" s="206"/>
      <c r="I29" s="2"/>
      <c r="J29" s="208"/>
      <c r="K29" s="207"/>
      <c r="L29" s="2"/>
      <c r="M29" s="2"/>
      <c r="N29" s="2"/>
      <c r="O29" s="2"/>
      <c r="P29" s="2"/>
    </row>
    <row r="30" spans="2:16" ht="15.75">
      <c r="B30" s="427">
        <f t="shared" si="1"/>
        <v>2036</v>
      </c>
      <c r="C30" s="686"/>
      <c r="D30" s="425">
        <f>+'7-Charges d''exp - économique'!F25</f>
        <v>107318.63113688771</v>
      </c>
      <c r="E30" s="425">
        <f t="shared" si="3"/>
        <v>107318.63113688771</v>
      </c>
      <c r="F30" s="667">
        <f>+'-9-  Bénéfice cout  d''évitemen '!K36</f>
        <v>361179.11952670361</v>
      </c>
      <c r="G30" s="687">
        <f t="shared" si="2"/>
        <v>253860.4883898159</v>
      </c>
      <c r="H30" s="206"/>
      <c r="I30" s="2"/>
      <c r="J30" s="2"/>
      <c r="K30" s="2"/>
      <c r="L30" s="2"/>
      <c r="M30" s="2"/>
      <c r="N30" s="2"/>
      <c r="O30" s="2"/>
      <c r="P30" s="2"/>
    </row>
    <row r="31" spans="2:16" ht="15.75">
      <c r="B31" s="427">
        <f t="shared" si="1"/>
        <v>2037</v>
      </c>
      <c r="C31" s="425">
        <f>+'6-Cout économique du projet'!L102</f>
        <v>123405.17672985879</v>
      </c>
      <c r="D31" s="425">
        <f>+'7-Charges d''exp - économique'!F26</f>
        <v>108501.73340578345</v>
      </c>
      <c r="E31" s="425">
        <f t="shared" si="3"/>
        <v>231906.91013564225</v>
      </c>
      <c r="F31" s="667">
        <f>+'-9-  Bénéfice cout  d''évitemen '!K37</f>
        <v>362897.74877114384</v>
      </c>
      <c r="G31" s="687">
        <f t="shared" si="2"/>
        <v>130990.8386355016</v>
      </c>
      <c r="H31" s="206"/>
      <c r="I31" s="2"/>
      <c r="J31" s="291"/>
      <c r="K31" s="2"/>
      <c r="L31" s="2"/>
      <c r="M31" s="2"/>
      <c r="N31" s="2"/>
      <c r="O31" s="2"/>
      <c r="P31" s="2"/>
    </row>
    <row r="32" spans="2:16" ht="15.75">
      <c r="B32" s="427">
        <f t="shared" si="1"/>
        <v>2038</v>
      </c>
      <c r="C32" s="686"/>
      <c r="D32" s="425">
        <f>+'7-Charges d''exp - économique'!F27</f>
        <v>109743.99078812398</v>
      </c>
      <c r="E32" s="425">
        <f t="shared" si="3"/>
        <v>109743.99078812398</v>
      </c>
      <c r="F32" s="667">
        <f>+'-9-  Bénéfice cout  d''évitemen '!K38</f>
        <v>364624.64962305868</v>
      </c>
      <c r="G32" s="687">
        <f t="shared" si="2"/>
        <v>254880.6588349347</v>
      </c>
      <c r="H32" s="206"/>
      <c r="I32" s="2"/>
      <c r="J32" s="2"/>
      <c r="K32" s="2"/>
      <c r="L32" s="2"/>
      <c r="M32" s="2"/>
      <c r="N32" s="2"/>
      <c r="O32" s="2"/>
      <c r="P32" s="2"/>
    </row>
    <row r="33" spans="2:10" ht="15.75">
      <c r="B33" s="427">
        <f t="shared" si="1"/>
        <v>2039</v>
      </c>
      <c r="C33" s="686"/>
      <c r="D33" s="425">
        <f>+'7-Charges d''exp - économique'!F28</f>
        <v>111048.3610395815</v>
      </c>
      <c r="E33" s="425">
        <f t="shared" si="3"/>
        <v>111048.3610395815</v>
      </c>
      <c r="F33" s="667">
        <f>+'-9-  Bénéfice cout  d''évitemen '!K39</f>
        <v>366359.86223691056</v>
      </c>
      <c r="G33" s="687">
        <f t="shared" si="2"/>
        <v>255311.50119732905</v>
      </c>
      <c r="H33" s="206"/>
    </row>
    <row r="34" spans="2:10" ht="15.75">
      <c r="B34" s="427">
        <f t="shared" si="1"/>
        <v>2040</v>
      </c>
      <c r="C34" s="686"/>
      <c r="D34" s="425">
        <f>+'7-Charges d''exp - économique'!F29</f>
        <v>112417.94980361193</v>
      </c>
      <c r="E34" s="425">
        <f t="shared" si="3"/>
        <v>112417.94980361193</v>
      </c>
      <c r="F34" s="667">
        <f>+'-9-  Bénéfice cout  d''évitemen '!K40</f>
        <v>368103.42696336762</v>
      </c>
      <c r="G34" s="687">
        <f t="shared" si="2"/>
        <v>255685.47715975568</v>
      </c>
      <c r="H34" s="206"/>
    </row>
    <row r="35" spans="2:10" ht="15.75">
      <c r="B35" s="427">
        <f t="shared" si="1"/>
        <v>2041</v>
      </c>
      <c r="C35" s="543"/>
      <c r="D35" s="425">
        <f>+'7-Charges d''exp - économique'!F30</f>
        <v>113856.01800584389</v>
      </c>
      <c r="E35" s="425">
        <f t="shared" si="3"/>
        <v>113856.01800584389</v>
      </c>
      <c r="F35" s="667">
        <f>+'-9-  Bénéfice cout  d''évitemen '!K41</f>
        <v>369855.38435026718</v>
      </c>
      <c r="G35" s="687">
        <f t="shared" si="2"/>
        <v>255999.3663444233</v>
      </c>
      <c r="H35" s="206"/>
    </row>
    <row r="36" spans="2:10" ht="16.5" thickBot="1">
      <c r="B36" s="431">
        <f t="shared" si="1"/>
        <v>2042</v>
      </c>
      <c r="C36" s="688"/>
      <c r="D36" s="664">
        <f>+'7-Charges d''exp - économique'!F31</f>
        <v>115365.98961818742</v>
      </c>
      <c r="E36" s="664">
        <f t="shared" si="3"/>
        <v>115365.98961818742</v>
      </c>
      <c r="F36" s="683">
        <f>+'-9-  Bénéfice cout  d''évitemen '!K42</f>
        <v>371615.77514358424</v>
      </c>
      <c r="G36" s="689">
        <f t="shared" si="2"/>
        <v>256249.78552539682</v>
      </c>
      <c r="H36" s="206"/>
    </row>
    <row r="37" spans="2:10" ht="15.75" thickBot="1">
      <c r="B37" s="251"/>
      <c r="C37" s="248"/>
      <c r="D37" s="247"/>
      <c r="E37" s="247"/>
      <c r="F37" s="266"/>
      <c r="G37" s="206"/>
      <c r="H37" s="206"/>
    </row>
    <row r="38" spans="2:10" ht="15.75">
      <c r="B38" s="251"/>
      <c r="C38" s="248"/>
      <c r="D38" s="247"/>
      <c r="E38" s="247"/>
      <c r="F38" s="266"/>
      <c r="G38" s="690" t="s">
        <v>2</v>
      </c>
      <c r="H38" s="691" t="s">
        <v>294</v>
      </c>
      <c r="I38" s="293"/>
    </row>
    <row r="39" spans="2:10" ht="16.5" thickBot="1">
      <c r="B39" s="177"/>
      <c r="C39" s="177"/>
      <c r="D39" s="178"/>
      <c r="E39" s="178"/>
      <c r="F39" s="177"/>
      <c r="G39" s="692">
        <f>+IRR(G14:G36)</f>
        <v>0.13301585963788962</v>
      </c>
      <c r="H39" s="693">
        <f>+NPV(5%,(G14:G36))</f>
        <v>1221328.4312091174</v>
      </c>
      <c r="I39" s="294"/>
    </row>
    <row r="40" spans="2:10" ht="15.75" thickBot="1">
      <c r="F40" s="129"/>
      <c r="G40" s="35"/>
      <c r="H40" s="35"/>
    </row>
    <row r="41" spans="2:10" s="137" customFormat="1" ht="23.1" customHeight="1" thickBot="1">
      <c r="B41" s="1200" t="s">
        <v>62</v>
      </c>
      <c r="C41" s="1201"/>
      <c r="D41" s="1201"/>
      <c r="E41" s="1201"/>
      <c r="F41" s="1202"/>
      <c r="G41" s="264"/>
      <c r="H41" s="264"/>
    </row>
    <row r="42" spans="2:10" ht="15.75" thickBot="1">
      <c r="F42" s="129"/>
    </row>
    <row r="43" spans="2:10" s="137" customFormat="1" ht="53.25" customHeight="1">
      <c r="B43" s="1211" t="s">
        <v>473</v>
      </c>
      <c r="C43" s="1212"/>
      <c r="D43" s="1212"/>
      <c r="E43" s="1212"/>
      <c r="F43" s="1212"/>
      <c r="G43" s="1213"/>
      <c r="H43" s="250"/>
    </row>
    <row r="44" spans="2:10" s="137" customFormat="1" ht="24.6" customHeight="1">
      <c r="B44" s="798" t="s">
        <v>474</v>
      </c>
      <c r="C44" s="1214"/>
      <c r="D44" s="1214"/>
      <c r="E44" s="1214"/>
      <c r="F44" s="1214"/>
      <c r="G44" s="1215"/>
      <c r="H44" s="250"/>
    </row>
    <row r="45" spans="2:10" s="137" customFormat="1" ht="54.75" customHeight="1">
      <c r="B45" s="811" t="s">
        <v>475</v>
      </c>
      <c r="C45" s="1209"/>
      <c r="D45" s="1209"/>
      <c r="E45" s="1209"/>
      <c r="F45" s="1209"/>
      <c r="G45" s="1210"/>
      <c r="H45" s="250"/>
    </row>
    <row r="46" spans="2:10" s="137" customFormat="1" ht="45.75" customHeight="1" thickBot="1">
      <c r="B46" s="1203" t="s">
        <v>476</v>
      </c>
      <c r="C46" s="1204"/>
      <c r="D46" s="1204"/>
      <c r="E46" s="1204"/>
      <c r="F46" s="1204"/>
      <c r="G46" s="1205"/>
      <c r="H46" s="250"/>
      <c r="J46" s="267"/>
    </row>
    <row r="47" spans="2:10" ht="26.45" customHeight="1" thickBot="1">
      <c r="B47" s="278"/>
      <c r="C47" s="279"/>
      <c r="D47" s="280"/>
      <c r="E47" s="280"/>
      <c r="F47" s="280"/>
      <c r="G47" s="281"/>
    </row>
    <row r="48" spans="2:10" s="137" customFormat="1" ht="54.75" customHeight="1" thickBot="1">
      <c r="B48" s="1206" t="s">
        <v>477</v>
      </c>
      <c r="C48" s="1207"/>
      <c r="D48" s="1207"/>
      <c r="E48" s="1207"/>
      <c r="F48" s="1207"/>
      <c r="G48" s="1208"/>
      <c r="H48" s="264"/>
    </row>
  </sheetData>
  <mergeCells count="17">
    <mergeCell ref="B41:F41"/>
    <mergeCell ref="F11:F13"/>
    <mergeCell ref="G11:G13"/>
    <mergeCell ref="B46:G46"/>
    <mergeCell ref="B48:G48"/>
    <mergeCell ref="B45:G45"/>
    <mergeCell ref="B43:G43"/>
    <mergeCell ref="B44:G44"/>
    <mergeCell ref="B2:G2"/>
    <mergeCell ref="C11:C13"/>
    <mergeCell ref="D11:D13"/>
    <mergeCell ref="E11:E13"/>
    <mergeCell ref="B11:B13"/>
    <mergeCell ref="B5:G5"/>
    <mergeCell ref="B6:G6"/>
    <mergeCell ref="B7:G7"/>
    <mergeCell ref="B9:F9"/>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dimension ref="B4:L54"/>
  <sheetViews>
    <sheetView topLeftCell="A29" workbookViewId="0">
      <selection activeCell="M40" sqref="M40"/>
    </sheetView>
  </sheetViews>
  <sheetFormatPr baseColWidth="10" defaultRowHeight="15"/>
  <cols>
    <col min="2" max="2" width="16.140625" style="313" customWidth="1"/>
    <col min="3" max="3" width="15.7109375" style="329" customWidth="1"/>
    <col min="4" max="4" width="16.7109375" style="29" customWidth="1"/>
    <col min="5" max="5" width="17.140625" style="313" customWidth="1"/>
    <col min="6" max="6" width="17.7109375" style="315" customWidth="1"/>
    <col min="7" max="7" width="18.140625" style="315" customWidth="1"/>
    <col min="8" max="8" width="21.28515625" style="315" customWidth="1"/>
    <col min="9" max="9" width="3" customWidth="1"/>
  </cols>
  <sheetData>
    <row r="4" spans="2:9" ht="26.45" customHeight="1" thickBot="1">
      <c r="H4" s="316"/>
    </row>
    <row r="5" spans="2:9" ht="53.1" customHeight="1" thickBot="1">
      <c r="B5" s="1218" t="s">
        <v>478</v>
      </c>
      <c r="C5" s="1219"/>
      <c r="D5" s="1219"/>
      <c r="E5" s="1219"/>
      <c r="F5" s="1219"/>
      <c r="G5" s="1219"/>
      <c r="H5" s="1219"/>
      <c r="I5" s="1220"/>
    </row>
    <row r="6" spans="2:9" s="222" customFormat="1" ht="37.5" customHeight="1" thickBot="1">
      <c r="B6" s="204"/>
      <c r="C6" s="330"/>
      <c r="D6" s="268"/>
      <c r="E6" s="204"/>
      <c r="F6" s="204"/>
      <c r="G6" s="204"/>
      <c r="H6" s="204"/>
    </row>
    <row r="7" spans="2:9" ht="20.100000000000001" customHeight="1">
      <c r="B7" s="1211" t="s">
        <v>270</v>
      </c>
      <c r="C7" s="1212"/>
      <c r="D7" s="1212"/>
      <c r="E7" s="1212"/>
      <c r="F7" s="1212"/>
      <c r="G7" s="1212"/>
      <c r="H7" s="1212"/>
      <c r="I7" s="1213"/>
    </row>
    <row r="8" spans="2:9" ht="18.75" customHeight="1">
      <c r="B8" s="798" t="s">
        <v>271</v>
      </c>
      <c r="C8" s="1214"/>
      <c r="D8" s="1214"/>
      <c r="E8" s="1214"/>
      <c r="F8" s="1214"/>
      <c r="G8" s="1214"/>
      <c r="H8" s="1214"/>
      <c r="I8" s="1215"/>
    </row>
    <row r="9" spans="2:9" ht="19.5" customHeight="1">
      <c r="B9" s="798" t="s">
        <v>272</v>
      </c>
      <c r="C9" s="1214"/>
      <c r="D9" s="1214"/>
      <c r="E9" s="1214"/>
      <c r="F9" s="1214"/>
      <c r="G9" s="1214"/>
      <c r="H9" s="1214"/>
      <c r="I9" s="1215"/>
    </row>
    <row r="10" spans="2:9" s="137" customFormat="1" ht="20.45" customHeight="1">
      <c r="B10" s="811" t="s">
        <v>273</v>
      </c>
      <c r="C10" s="1209"/>
      <c r="D10" s="1209"/>
      <c r="E10" s="1209"/>
      <c r="F10" s="1209"/>
      <c r="G10" s="1209"/>
      <c r="H10" s="1209"/>
      <c r="I10" s="1210"/>
    </row>
    <row r="11" spans="2:9" s="137" customFormat="1" ht="20.45" customHeight="1">
      <c r="B11" s="811" t="s">
        <v>274</v>
      </c>
      <c r="C11" s="1209"/>
      <c r="D11" s="1209"/>
      <c r="E11" s="1209"/>
      <c r="F11" s="1209"/>
      <c r="G11" s="1209"/>
      <c r="H11" s="1209"/>
      <c r="I11" s="1210"/>
    </row>
    <row r="12" spans="2:9" ht="21" customHeight="1">
      <c r="B12" s="1221" t="s">
        <v>407</v>
      </c>
      <c r="C12" s="1222"/>
      <c r="D12" s="1222"/>
      <c r="E12" s="1222"/>
      <c r="F12" s="1222"/>
      <c r="G12" s="1222"/>
      <c r="H12" s="1222"/>
      <c r="I12" s="1223"/>
    </row>
    <row r="13" spans="2:9" ht="22.5" customHeight="1">
      <c r="B13" s="811" t="s">
        <v>281</v>
      </c>
      <c r="C13" s="1209"/>
      <c r="D13" s="1209"/>
      <c r="E13" s="1209"/>
      <c r="F13" s="1209"/>
      <c r="G13" s="1209"/>
      <c r="H13" s="1209"/>
      <c r="I13" s="1210"/>
    </row>
    <row r="14" spans="2:9" ht="20.45" customHeight="1">
      <c r="B14" s="811" t="s">
        <v>275</v>
      </c>
      <c r="C14" s="1209"/>
      <c r="D14" s="1209"/>
      <c r="E14" s="1209"/>
      <c r="F14" s="1209"/>
      <c r="G14" s="1209"/>
      <c r="H14" s="1209"/>
      <c r="I14" s="1210"/>
    </row>
    <row r="15" spans="2:9" ht="21" customHeight="1">
      <c r="B15" s="811" t="s">
        <v>276</v>
      </c>
      <c r="C15" s="1209"/>
      <c r="D15" s="1209"/>
      <c r="E15" s="1209"/>
      <c r="F15" s="1209"/>
      <c r="G15" s="1209"/>
      <c r="H15" s="1209"/>
      <c r="I15" s="1210"/>
    </row>
    <row r="16" spans="2:9" ht="20.45" customHeight="1">
      <c r="B16" s="811" t="s">
        <v>277</v>
      </c>
      <c r="C16" s="1209"/>
      <c r="D16" s="1209"/>
      <c r="E16" s="1209"/>
      <c r="F16" s="1209"/>
      <c r="G16" s="1209"/>
      <c r="H16" s="1209"/>
      <c r="I16" s="1210"/>
    </row>
    <row r="17" spans="2:9" ht="18.600000000000001" customHeight="1">
      <c r="B17" s="1221" t="s">
        <v>278</v>
      </c>
      <c r="C17" s="1222"/>
      <c r="D17" s="1222"/>
      <c r="E17" s="1222"/>
      <c r="F17" s="1222"/>
      <c r="G17" s="1222"/>
      <c r="H17" s="1222"/>
      <c r="I17" s="1223"/>
    </row>
    <row r="18" spans="2:9" ht="21.6" customHeight="1">
      <c r="B18" s="811" t="s">
        <v>31</v>
      </c>
      <c r="C18" s="1209"/>
      <c r="D18" s="1209"/>
      <c r="E18" s="1209"/>
      <c r="F18" s="1209"/>
      <c r="G18" s="1209"/>
      <c r="H18" s="1209"/>
      <c r="I18" s="1210"/>
    </row>
    <row r="19" spans="2:9" ht="21.95" customHeight="1">
      <c r="B19" s="1113" t="s">
        <v>279</v>
      </c>
      <c r="C19" s="1114"/>
      <c r="D19" s="1114"/>
      <c r="E19" s="1114"/>
      <c r="F19" s="1114"/>
      <c r="G19" s="1114"/>
      <c r="H19" s="1114"/>
      <c r="I19" s="1115"/>
    </row>
    <row r="20" spans="2:9" ht="21.95" customHeight="1">
      <c r="B20" s="811" t="s">
        <v>280</v>
      </c>
      <c r="C20" s="1209"/>
      <c r="D20" s="1209"/>
      <c r="E20" s="1209"/>
      <c r="F20" s="1209"/>
      <c r="G20" s="1209"/>
      <c r="H20" s="1209"/>
      <c r="I20" s="1210"/>
    </row>
    <row r="21" spans="2:9" ht="20.100000000000001" customHeight="1" thickBot="1">
      <c r="B21" s="1203" t="s">
        <v>424</v>
      </c>
      <c r="C21" s="1204"/>
      <c r="D21" s="1204"/>
      <c r="E21" s="1204"/>
      <c r="F21" s="1204"/>
      <c r="G21" s="1204"/>
      <c r="H21" s="1204"/>
      <c r="I21" s="1205"/>
    </row>
    <row r="22" spans="2:9" ht="23.45" customHeight="1">
      <c r="B22" s="1216" t="s">
        <v>425</v>
      </c>
      <c r="C22" s="1217"/>
      <c r="D22" s="1217"/>
      <c r="E22" s="1217"/>
      <c r="F22" s="1217"/>
      <c r="G22" s="1217"/>
      <c r="H22" s="1217"/>
      <c r="I22" s="334"/>
    </row>
    <row r="23" spans="2:9" ht="20.100000000000001" customHeight="1">
      <c r="B23" s="1109" t="s">
        <v>426</v>
      </c>
      <c r="C23" s="812"/>
      <c r="D23" s="812"/>
      <c r="E23" s="812"/>
      <c r="F23" s="812"/>
      <c r="G23" s="812"/>
      <c r="H23" s="812"/>
      <c r="I23" s="314"/>
    </row>
    <row r="24" spans="2:9" ht="21" customHeight="1">
      <c r="B24" s="1109" t="s">
        <v>427</v>
      </c>
      <c r="C24" s="812"/>
      <c r="D24" s="812"/>
      <c r="E24" s="812"/>
      <c r="F24" s="812"/>
      <c r="G24" s="812"/>
      <c r="H24" s="812"/>
      <c r="I24" s="319"/>
    </row>
    <row r="25" spans="2:9" ht="18.95" customHeight="1">
      <c r="B25" s="1109" t="s">
        <v>428</v>
      </c>
      <c r="C25" s="812"/>
      <c r="D25" s="812"/>
      <c r="E25" s="812"/>
      <c r="F25" s="812"/>
      <c r="G25" s="812"/>
      <c r="H25" s="812"/>
      <c r="I25" s="813"/>
    </row>
    <row r="26" spans="2:9" ht="20.45" customHeight="1">
      <c r="B26" s="1109" t="s">
        <v>429</v>
      </c>
      <c r="C26" s="812"/>
      <c r="D26" s="812"/>
      <c r="E26" s="812"/>
      <c r="F26" s="812"/>
      <c r="G26" s="812"/>
      <c r="H26" s="812"/>
      <c r="I26" s="314"/>
    </row>
    <row r="27" spans="2:9" ht="20.100000000000001" customHeight="1">
      <c r="B27" s="1109" t="s">
        <v>430</v>
      </c>
      <c r="C27" s="812"/>
      <c r="D27" s="812"/>
      <c r="E27" s="812"/>
      <c r="F27" s="812"/>
      <c r="G27" s="812"/>
      <c r="H27" s="812"/>
      <c r="I27" s="314"/>
    </row>
    <row r="28" spans="2:9" ht="18.95" customHeight="1" thickBot="1">
      <c r="B28" s="1224" t="s">
        <v>431</v>
      </c>
      <c r="C28" s="1225"/>
      <c r="D28" s="1225"/>
      <c r="E28" s="1225"/>
      <c r="F28" s="1225"/>
      <c r="G28" s="1225"/>
      <c r="H28" s="327"/>
      <c r="I28" s="318"/>
    </row>
    <row r="29" spans="2:9" ht="18.95" customHeight="1" thickBot="1">
      <c r="B29" s="312"/>
      <c r="C29" s="328"/>
      <c r="D29" s="328"/>
      <c r="E29" s="312"/>
      <c r="F29" s="328"/>
      <c r="G29" s="328"/>
      <c r="H29" s="320"/>
      <c r="I29" s="311"/>
    </row>
    <row r="30" spans="2:9" ht="27.95" customHeight="1" thickBot="1">
      <c r="B30" s="325"/>
      <c r="C30" s="930" t="s">
        <v>412</v>
      </c>
      <c r="D30" s="931"/>
      <c r="E30" s="931"/>
      <c r="F30" s="931"/>
      <c r="G30" s="932"/>
      <c r="H30" s="333"/>
      <c r="I30" s="326"/>
    </row>
    <row r="31" spans="2:9" s="137" customFormat="1" ht="18.600000000000001" customHeight="1" thickBot="1">
      <c r="B31" s="251"/>
      <c r="C31" s="331"/>
      <c r="D31" s="317"/>
      <c r="E31" s="251"/>
      <c r="F31" s="251"/>
      <c r="G31" s="251"/>
      <c r="H31" s="251"/>
    </row>
    <row r="32" spans="2:9" s="137" customFormat="1" ht="80.45" customHeight="1">
      <c r="B32" s="696" t="s">
        <v>117</v>
      </c>
      <c r="C32" s="697" t="s">
        <v>414</v>
      </c>
      <c r="D32" s="697" t="s">
        <v>415</v>
      </c>
      <c r="E32" s="698" t="s">
        <v>416</v>
      </c>
      <c r="F32" s="698" t="s">
        <v>417</v>
      </c>
      <c r="G32" s="698" t="s">
        <v>418</v>
      </c>
      <c r="H32" s="699" t="s">
        <v>419</v>
      </c>
      <c r="I32" s="44"/>
    </row>
    <row r="33" spans="2:9">
      <c r="B33" s="700">
        <v>2023</v>
      </c>
      <c r="C33" s="694">
        <f>+'3-DONNEE DE BASE'!F13*50%</f>
        <v>6750</v>
      </c>
      <c r="D33" s="694">
        <f>+'3-DONNEE DE BASE'!G85</f>
        <v>25</v>
      </c>
      <c r="E33" s="694">
        <f>+'3-DONNEE DE BASE'!G86</f>
        <v>60</v>
      </c>
      <c r="F33" s="694">
        <f>+C33*D33</f>
        <v>168750</v>
      </c>
      <c r="G33" s="694">
        <f>+C33*E33</f>
        <v>405000</v>
      </c>
      <c r="H33" s="701">
        <f>+G33-F33</f>
        <v>236250</v>
      </c>
      <c r="I33" s="37"/>
    </row>
    <row r="34" spans="2:9" ht="20.100000000000001" customHeight="1">
      <c r="B34" s="702">
        <f>+B33+1</f>
        <v>2024</v>
      </c>
      <c r="C34" s="695">
        <f>+C33*1.02</f>
        <v>6885</v>
      </c>
      <c r="D34" s="695">
        <f>+D33*(1+'3-DONNEE DE BASE'!G88)</f>
        <v>25.624999999999996</v>
      </c>
      <c r="E34" s="694">
        <f>+E33*(1+'3-DONNEE DE BASE'!$G$87)</f>
        <v>63</v>
      </c>
      <c r="F34" s="694">
        <f t="shared" ref="F34:F52" si="0">+C34*D34</f>
        <v>176428.12499999997</v>
      </c>
      <c r="G34" s="694">
        <f t="shared" ref="G34:G52" si="1">+C34*E34</f>
        <v>433755</v>
      </c>
      <c r="H34" s="701">
        <f t="shared" ref="H34:H52" si="2">+G34-F34</f>
        <v>257326.87500000003</v>
      </c>
      <c r="I34" s="31"/>
    </row>
    <row r="35" spans="2:9" ht="15.6" customHeight="1">
      <c r="B35" s="702">
        <f t="shared" ref="B35:B36" si="3">+B34+1</f>
        <v>2025</v>
      </c>
      <c r="C35" s="695">
        <f t="shared" ref="C35:C52" si="4">+C34*1.02</f>
        <v>7022.7</v>
      </c>
      <c r="D35" s="695">
        <f>+D34*(1+'3-DONNEE DE BASE'!$G$88)</f>
        <v>26.265624999999993</v>
      </c>
      <c r="E35" s="694">
        <f>+E34*(1+'3-DONNEE DE BASE'!$G$87)</f>
        <v>66.150000000000006</v>
      </c>
      <c r="F35" s="694">
        <f t="shared" si="0"/>
        <v>184455.60468749996</v>
      </c>
      <c r="G35" s="694">
        <f t="shared" si="1"/>
        <v>464551.60500000004</v>
      </c>
      <c r="H35" s="701">
        <f t="shared" si="2"/>
        <v>280096.00031250005</v>
      </c>
      <c r="I35" s="323"/>
    </row>
    <row r="36" spans="2:9" ht="17.100000000000001" customHeight="1">
      <c r="B36" s="702">
        <f t="shared" si="3"/>
        <v>2026</v>
      </c>
      <c r="C36" s="695">
        <f t="shared" si="4"/>
        <v>7163.1539999999995</v>
      </c>
      <c r="D36" s="695">
        <f>+D35*(1+'3-DONNEE DE BASE'!$G$88)</f>
        <v>26.922265624999991</v>
      </c>
      <c r="E36" s="694">
        <f>+E35*(1+'3-DONNEE DE BASE'!$G$87)</f>
        <v>69.45750000000001</v>
      </c>
      <c r="F36" s="694">
        <f t="shared" si="0"/>
        <v>192848.33470078118</v>
      </c>
      <c r="G36" s="694">
        <f t="shared" si="1"/>
        <v>497534.76895500004</v>
      </c>
      <c r="H36" s="701">
        <f t="shared" si="2"/>
        <v>304686.43425421882</v>
      </c>
      <c r="I36" s="31"/>
    </row>
    <row r="37" spans="2:9" ht="19.5" customHeight="1">
      <c r="B37" s="702">
        <f t="shared" ref="B37:B52" si="5">+B36+1</f>
        <v>2027</v>
      </c>
      <c r="C37" s="695">
        <f t="shared" si="4"/>
        <v>7306.4170799999993</v>
      </c>
      <c r="D37" s="695">
        <f>+D36*(1+'3-DONNEE DE BASE'!$G$88)</f>
        <v>27.59532226562499</v>
      </c>
      <c r="E37" s="694">
        <f>+E36*(1+'3-DONNEE DE BASE'!$G$87)</f>
        <v>72.930375000000012</v>
      </c>
      <c r="F37" s="694">
        <f t="shared" si="0"/>
        <v>201622.9339296667</v>
      </c>
      <c r="G37" s="694">
        <f t="shared" si="1"/>
        <v>532859.73755080509</v>
      </c>
      <c r="H37" s="701">
        <f t="shared" si="2"/>
        <v>331236.80362113839</v>
      </c>
      <c r="I37" s="31"/>
    </row>
    <row r="38" spans="2:9" ht="17.100000000000001" customHeight="1">
      <c r="B38" s="702">
        <f t="shared" si="5"/>
        <v>2028</v>
      </c>
      <c r="C38" s="695">
        <f t="shared" si="4"/>
        <v>7452.5454215999998</v>
      </c>
      <c r="D38" s="695">
        <f>+D37*(1+'3-DONNEE DE BASE'!$G$88)</f>
        <v>28.285205322265611</v>
      </c>
      <c r="E38" s="694">
        <f>+E37*(1+'3-DONNEE DE BASE'!$G$87)</f>
        <v>76.576893750000011</v>
      </c>
      <c r="F38" s="694">
        <f t="shared" si="0"/>
        <v>210796.77742346653</v>
      </c>
      <c r="G38" s="694">
        <f t="shared" si="1"/>
        <v>570692.77891691227</v>
      </c>
      <c r="H38" s="701">
        <f t="shared" si="2"/>
        <v>359896.00149344571</v>
      </c>
      <c r="I38" s="31"/>
    </row>
    <row r="39" spans="2:9" ht="17.100000000000001" customHeight="1">
      <c r="B39" s="702">
        <f t="shared" si="5"/>
        <v>2029</v>
      </c>
      <c r="C39" s="695">
        <f t="shared" si="4"/>
        <v>7601.596330032</v>
      </c>
      <c r="D39" s="695">
        <f>+D38*(1+'3-DONNEE DE BASE'!$G$88)</f>
        <v>28.992335455322248</v>
      </c>
      <c r="E39" s="694">
        <f>+E38*(1+'3-DONNEE DE BASE'!$G$87)</f>
        <v>80.40573843750002</v>
      </c>
      <c r="F39" s="694">
        <f t="shared" si="0"/>
        <v>220388.03079623423</v>
      </c>
      <c r="G39" s="694">
        <f t="shared" si="1"/>
        <v>611211.9662200131</v>
      </c>
      <c r="H39" s="701">
        <f t="shared" si="2"/>
        <v>390823.93542377884</v>
      </c>
      <c r="I39" s="31"/>
    </row>
    <row r="40" spans="2:9">
      <c r="B40" s="702">
        <f t="shared" si="5"/>
        <v>2030</v>
      </c>
      <c r="C40" s="695">
        <f t="shared" si="4"/>
        <v>7753.6282566326399</v>
      </c>
      <c r="D40" s="695">
        <f>+D39*(1+'3-DONNEE DE BASE'!$G$88)</f>
        <v>29.717143841705301</v>
      </c>
      <c r="E40" s="694">
        <f>+E39*(1+'3-DONNEE DE BASE'!$G$87)</f>
        <v>84.426025359375018</v>
      </c>
      <c r="F40" s="694">
        <f t="shared" si="0"/>
        <v>230415.68619746287</v>
      </c>
      <c r="G40" s="694">
        <f t="shared" si="1"/>
        <v>654608.01582163398</v>
      </c>
      <c r="H40" s="701">
        <f t="shared" si="2"/>
        <v>424192.32962417114</v>
      </c>
      <c r="I40" s="31"/>
    </row>
    <row r="41" spans="2:9">
      <c r="B41" s="702">
        <f t="shared" si="5"/>
        <v>2031</v>
      </c>
      <c r="C41" s="695">
        <f t="shared" si="4"/>
        <v>7908.7008217652929</v>
      </c>
      <c r="D41" s="695">
        <f>+D40*(1+'3-DONNEE DE BASE'!$G$88)</f>
        <v>30.460072437747932</v>
      </c>
      <c r="E41" s="694">
        <f>+E40*(1+'3-DONNEE DE BASE'!$G$87)</f>
        <v>88.647326627343773</v>
      </c>
      <c r="F41" s="694">
        <f t="shared" si="0"/>
        <v>240899.59991944741</v>
      </c>
      <c r="G41" s="694">
        <f t="shared" si="1"/>
        <v>701085.18494497007</v>
      </c>
      <c r="H41" s="701">
        <f t="shared" si="2"/>
        <v>460185.58502552263</v>
      </c>
      <c r="I41" s="31"/>
    </row>
    <row r="42" spans="2:9">
      <c r="B42" s="702">
        <f t="shared" si="5"/>
        <v>2032</v>
      </c>
      <c r="C42" s="695">
        <f t="shared" si="4"/>
        <v>8066.8748382005988</v>
      </c>
      <c r="D42" s="695">
        <f>+D41*(1+'3-DONNEE DE BASE'!$G$88)</f>
        <v>31.221574248691628</v>
      </c>
      <c r="E42" s="694">
        <f>+E41*(1+'3-DONNEE DE BASE'!$G$87)</f>
        <v>93.079692958710964</v>
      </c>
      <c r="F42" s="694">
        <f t="shared" si="0"/>
        <v>251860.53171578224</v>
      </c>
      <c r="G42" s="694">
        <f t="shared" si="1"/>
        <v>750862.23307606287</v>
      </c>
      <c r="H42" s="701">
        <f t="shared" si="2"/>
        <v>499001.70136028063</v>
      </c>
      <c r="I42" s="31"/>
    </row>
    <row r="43" spans="2:9">
      <c r="B43" s="702">
        <f t="shared" si="5"/>
        <v>2033</v>
      </c>
      <c r="C43" s="695">
        <f t="shared" si="4"/>
        <v>8228.2123349646117</v>
      </c>
      <c r="D43" s="695">
        <f>+D42*(1+'3-DONNEE DE BASE'!$G$88)</f>
        <v>32.002113604908914</v>
      </c>
      <c r="E43" s="694">
        <f>+E42*(1+'3-DONNEE DE BASE'!$G$87)</f>
        <v>97.733677606646523</v>
      </c>
      <c r="F43" s="694">
        <f t="shared" si="0"/>
        <v>263320.18590885034</v>
      </c>
      <c r="G43" s="694">
        <f t="shared" si="1"/>
        <v>804173.45162446355</v>
      </c>
      <c r="H43" s="701">
        <f t="shared" si="2"/>
        <v>540853.26571561326</v>
      </c>
      <c r="I43" s="31"/>
    </row>
    <row r="44" spans="2:9">
      <c r="B44" s="702">
        <f t="shared" si="5"/>
        <v>2034</v>
      </c>
      <c r="C44" s="695">
        <f t="shared" si="4"/>
        <v>8392.7765816639039</v>
      </c>
      <c r="D44" s="695">
        <f>+D43*(1+'3-DONNEE DE BASE'!$G$88)</f>
        <v>32.802166445031631</v>
      </c>
      <c r="E44" s="694">
        <f>+E43*(1+'3-DONNEE DE BASE'!$G$87)</f>
        <v>102.62036148697885</v>
      </c>
      <c r="F44" s="694">
        <f t="shared" si="0"/>
        <v>275301.25436770299</v>
      </c>
      <c r="G44" s="694">
        <f t="shared" si="1"/>
        <v>861269.76668980054</v>
      </c>
      <c r="H44" s="701">
        <f t="shared" si="2"/>
        <v>585968.51232209755</v>
      </c>
      <c r="I44" s="31"/>
    </row>
    <row r="45" spans="2:9">
      <c r="B45" s="702">
        <f t="shared" si="5"/>
        <v>2035</v>
      </c>
      <c r="C45" s="695">
        <f t="shared" si="4"/>
        <v>8560.6321132971825</v>
      </c>
      <c r="D45" s="695">
        <f>+D44*(1+'3-DONNEE DE BASE'!$G$88)</f>
        <v>33.62222060615742</v>
      </c>
      <c r="E45" s="694">
        <f>+E44*(1+'3-DONNEE DE BASE'!$G$87)</f>
        <v>107.75137956132779</v>
      </c>
      <c r="F45" s="694">
        <f t="shared" si="0"/>
        <v>287827.46144143346</v>
      </c>
      <c r="G45" s="694">
        <f t="shared" si="1"/>
        <v>922419.92012477643</v>
      </c>
      <c r="H45" s="701">
        <f t="shared" si="2"/>
        <v>634592.45868334291</v>
      </c>
      <c r="I45" s="31"/>
    </row>
    <row r="46" spans="2:9">
      <c r="B46" s="702">
        <f t="shared" si="5"/>
        <v>2036</v>
      </c>
      <c r="C46" s="695">
        <f t="shared" si="4"/>
        <v>8731.8447555631265</v>
      </c>
      <c r="D46" s="695">
        <f>+D45*(1+'3-DONNEE DE BASE'!$G$88)</f>
        <v>34.46277612131135</v>
      </c>
      <c r="E46" s="694">
        <f>+E45*(1+'3-DONNEE DE BASE'!$G$87)</f>
        <v>113.13894853939419</v>
      </c>
      <c r="F46" s="694">
        <f t="shared" si="0"/>
        <v>300923.61093701865</v>
      </c>
      <c r="G46" s="694">
        <f t="shared" si="1"/>
        <v>987911.73445363564</v>
      </c>
      <c r="H46" s="701">
        <f t="shared" si="2"/>
        <v>686988.12351661699</v>
      </c>
      <c r="I46" s="31"/>
    </row>
    <row r="47" spans="2:9">
      <c r="B47" s="702">
        <f t="shared" si="5"/>
        <v>2037</v>
      </c>
      <c r="C47" s="695">
        <f t="shared" si="4"/>
        <v>8906.48165067439</v>
      </c>
      <c r="D47" s="695">
        <f>+D46*(1+'3-DONNEE DE BASE'!$G$88)</f>
        <v>35.324345524344132</v>
      </c>
      <c r="E47" s="694">
        <f>+E46*(1+'3-DONNEE DE BASE'!$G$87)</f>
        <v>118.7958959663639</v>
      </c>
      <c r="F47" s="694">
        <f t="shared" si="0"/>
        <v>314615.63523465302</v>
      </c>
      <c r="G47" s="694">
        <f t="shared" si="1"/>
        <v>1058053.4675998439</v>
      </c>
      <c r="H47" s="701">
        <f t="shared" si="2"/>
        <v>743437.83236519084</v>
      </c>
      <c r="I47" s="31"/>
    </row>
    <row r="48" spans="2:9">
      <c r="B48" s="702">
        <f t="shared" si="5"/>
        <v>2038</v>
      </c>
      <c r="C48" s="695">
        <f t="shared" si="4"/>
        <v>9084.6112836878783</v>
      </c>
      <c r="D48" s="695">
        <f>+D47*(1+'3-DONNEE DE BASE'!$G$88)</f>
        <v>36.207454162452734</v>
      </c>
      <c r="E48" s="694">
        <f>+E47*(1+'3-DONNEE DE BASE'!$G$87)</f>
        <v>124.7356907646821</v>
      </c>
      <c r="F48" s="694">
        <f t="shared" si="0"/>
        <v>328930.64663782972</v>
      </c>
      <c r="G48" s="694">
        <f t="shared" si="1"/>
        <v>1133175.2637994329</v>
      </c>
      <c r="H48" s="701">
        <f t="shared" si="2"/>
        <v>804244.61716160318</v>
      </c>
      <c r="I48" s="31"/>
    </row>
    <row r="49" spans="2:12">
      <c r="B49" s="702">
        <f t="shared" si="5"/>
        <v>2039</v>
      </c>
      <c r="C49" s="695">
        <f t="shared" si="4"/>
        <v>9266.3035093616363</v>
      </c>
      <c r="D49" s="695">
        <f>+D48*(1+'3-DONNEE DE BASE'!$G$88)</f>
        <v>37.112640516514048</v>
      </c>
      <c r="E49" s="694">
        <f>+E48*(1+'3-DONNEE DE BASE'!$G$87)</f>
        <v>130.97247530291622</v>
      </c>
      <c r="F49" s="694">
        <f t="shared" si="0"/>
        <v>343896.99105985096</v>
      </c>
      <c r="G49" s="694">
        <f t="shared" si="1"/>
        <v>1213630.7075291928</v>
      </c>
      <c r="H49" s="701">
        <f t="shared" si="2"/>
        <v>869733.71646934189</v>
      </c>
      <c r="I49" s="31"/>
    </row>
    <row r="50" spans="2:12">
      <c r="B50" s="702">
        <f t="shared" si="5"/>
        <v>2040</v>
      </c>
      <c r="C50" s="695">
        <f t="shared" si="4"/>
        <v>9451.6295795488695</v>
      </c>
      <c r="D50" s="695">
        <f>+D49*(1+'3-DONNEE DE BASE'!$G$88)</f>
        <v>38.040456529426898</v>
      </c>
      <c r="E50" s="694">
        <f>+E49*(1+'3-DONNEE DE BASE'!$G$87)</f>
        <v>137.52109906806203</v>
      </c>
      <c r="F50" s="694">
        <f t="shared" si="0"/>
        <v>359544.30415307422</v>
      </c>
      <c r="G50" s="694">
        <f t="shared" si="1"/>
        <v>1299798.4877637655</v>
      </c>
      <c r="H50" s="701">
        <f t="shared" si="2"/>
        <v>940254.18361069122</v>
      </c>
      <c r="I50" s="31"/>
    </row>
    <row r="51" spans="2:12">
      <c r="B51" s="702">
        <f t="shared" si="5"/>
        <v>2041</v>
      </c>
      <c r="C51" s="695">
        <f t="shared" si="4"/>
        <v>9640.6621711398475</v>
      </c>
      <c r="D51" s="695">
        <f>+D50*(1+'3-DONNEE DE BASE'!$G$88)</f>
        <v>38.991467942662567</v>
      </c>
      <c r="E51" s="694">
        <f>+E50*(1+'3-DONNEE DE BASE'!$G$87)</f>
        <v>144.39715402146513</v>
      </c>
      <c r="F51" s="694">
        <f t="shared" si="0"/>
        <v>375903.56999203906</v>
      </c>
      <c r="G51" s="694">
        <f t="shared" si="1"/>
        <v>1392084.1803949929</v>
      </c>
      <c r="H51" s="701">
        <f t="shared" si="2"/>
        <v>1016180.6104029538</v>
      </c>
      <c r="I51" s="31"/>
    </row>
    <row r="52" spans="2:12" ht="15.75" thickBot="1">
      <c r="B52" s="703">
        <f t="shared" si="5"/>
        <v>2042</v>
      </c>
      <c r="C52" s="704">
        <f t="shared" si="4"/>
        <v>9833.4754145626448</v>
      </c>
      <c r="D52" s="704">
        <f>+D51*(1+'3-DONNEE DE BASE'!$G$88)</f>
        <v>39.966254641229128</v>
      </c>
      <c r="E52" s="705">
        <f>+E51*(1+'3-DONNEE DE BASE'!$G$87)</f>
        <v>151.61701172253839</v>
      </c>
      <c r="F52" s="705">
        <f t="shared" si="0"/>
        <v>393007.18242667685</v>
      </c>
      <c r="G52" s="705">
        <f t="shared" si="1"/>
        <v>1490922.1572030375</v>
      </c>
      <c r="H52" s="706">
        <f t="shared" si="2"/>
        <v>1097914.9747763607</v>
      </c>
      <c r="I52" s="31"/>
    </row>
    <row r="53" spans="2:12" ht="15.75">
      <c r="B53" s="322"/>
      <c r="C53" s="332">
        <f>+SUM(C33:C52)</f>
        <v>164007.24614269464</v>
      </c>
      <c r="E53" s="321"/>
      <c r="F53" s="332"/>
      <c r="G53" s="332"/>
      <c r="H53" s="332"/>
      <c r="I53" s="2"/>
      <c r="K53" s="1227"/>
      <c r="L53" s="1227"/>
    </row>
    <row r="54" spans="2:12" ht="15.75">
      <c r="B54" s="322"/>
      <c r="C54" s="1226"/>
      <c r="D54" s="1226"/>
      <c r="E54" s="321"/>
      <c r="F54" s="324"/>
      <c r="H54" s="1226"/>
      <c r="I54" s="1226"/>
    </row>
  </sheetData>
  <mergeCells count="27">
    <mergeCell ref="B28:G28"/>
    <mergeCell ref="C30:G30"/>
    <mergeCell ref="H54:I54"/>
    <mergeCell ref="K53:L53"/>
    <mergeCell ref="C54:D54"/>
    <mergeCell ref="B5:I5"/>
    <mergeCell ref="B19:I19"/>
    <mergeCell ref="B20:I20"/>
    <mergeCell ref="B21:I21"/>
    <mergeCell ref="B7:I7"/>
    <mergeCell ref="B8:I8"/>
    <mergeCell ref="B11:I11"/>
    <mergeCell ref="B12:I12"/>
    <mergeCell ref="B9:I9"/>
    <mergeCell ref="B10:I10"/>
    <mergeCell ref="B18:I18"/>
    <mergeCell ref="B16:I16"/>
    <mergeCell ref="B13:I13"/>
    <mergeCell ref="B14:I14"/>
    <mergeCell ref="B15:I15"/>
    <mergeCell ref="B17:I17"/>
    <mergeCell ref="B26:H26"/>
    <mergeCell ref="B27:H27"/>
    <mergeCell ref="B23:H23"/>
    <mergeCell ref="B22:H22"/>
    <mergeCell ref="B25:I25"/>
    <mergeCell ref="B24:H24"/>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dimension ref="A3:J46"/>
  <sheetViews>
    <sheetView topLeftCell="A12" workbookViewId="0">
      <selection activeCell="F15" sqref="F15"/>
    </sheetView>
  </sheetViews>
  <sheetFormatPr baseColWidth="10" defaultRowHeight="15"/>
  <cols>
    <col min="2" max="2" width="14.85546875" style="270" customWidth="1"/>
    <col min="3" max="3" width="15.42578125" style="270" customWidth="1"/>
    <col min="4" max="4" width="18.85546875" style="270" customWidth="1"/>
    <col min="5" max="5" width="14.140625" style="270" customWidth="1"/>
    <col min="6" max="6" width="23.85546875" style="270" customWidth="1"/>
    <col min="7" max="7" width="38" style="270" customWidth="1"/>
    <col min="8" max="8" width="15.140625" bestFit="1" customWidth="1"/>
  </cols>
  <sheetData>
    <row r="3" spans="2:10" ht="15.75" thickBot="1">
      <c r="H3" s="2"/>
      <c r="I3" s="2"/>
      <c r="J3" s="2"/>
    </row>
    <row r="4" spans="2:10" ht="18.600000000000001" customHeight="1">
      <c r="B4" s="1240" t="s">
        <v>472</v>
      </c>
      <c r="C4" s="1241"/>
      <c r="D4" s="1241"/>
      <c r="E4" s="1241"/>
      <c r="F4" s="1241"/>
      <c r="G4" s="1242"/>
      <c r="H4" s="289"/>
      <c r="I4" s="289"/>
      <c r="J4" s="289"/>
    </row>
    <row r="5" spans="2:10" ht="18.600000000000001" customHeight="1">
      <c r="B5" s="1243" t="s">
        <v>479</v>
      </c>
      <c r="C5" s="1244"/>
      <c r="D5" s="1244"/>
      <c r="E5" s="1244"/>
      <c r="F5" s="1244"/>
      <c r="G5" s="1245"/>
      <c r="H5" s="269"/>
      <c r="I5" s="269"/>
      <c r="J5" s="269"/>
    </row>
    <row r="6" spans="2:10" ht="18.95" customHeight="1" thickBot="1">
      <c r="B6" s="1246" t="s">
        <v>282</v>
      </c>
      <c r="C6" s="1247"/>
      <c r="D6" s="1247"/>
      <c r="E6" s="1247"/>
      <c r="F6" s="1247"/>
      <c r="G6" s="1248"/>
      <c r="H6" s="269"/>
      <c r="I6" s="269"/>
      <c r="J6" s="269"/>
    </row>
    <row r="7" spans="2:10" ht="19.5" thickBot="1">
      <c r="B7" s="135"/>
      <c r="C7" s="135"/>
      <c r="D7" s="135"/>
      <c r="E7" s="135"/>
      <c r="F7" s="135"/>
      <c r="G7" s="135"/>
      <c r="H7" s="2"/>
      <c r="I7" s="2"/>
      <c r="J7" s="2"/>
    </row>
    <row r="8" spans="2:10" ht="22.5" customHeight="1" thickBot="1">
      <c r="B8" s="1237" t="s">
        <v>61</v>
      </c>
      <c r="C8" s="1238"/>
      <c r="D8" s="1238"/>
      <c r="E8" s="1238"/>
      <c r="F8" s="1238"/>
      <c r="G8" s="1239"/>
      <c r="H8" s="290"/>
      <c r="I8" s="2"/>
    </row>
    <row r="9" spans="2:10" ht="15.75" thickBot="1">
      <c r="C9" s="29"/>
      <c r="D9" s="29"/>
      <c r="E9" s="29"/>
      <c r="F9" s="29"/>
      <c r="G9" s="33"/>
      <c r="H9" s="2"/>
    </row>
    <row r="10" spans="2:10" ht="28.5" customHeight="1">
      <c r="B10" s="894" t="s">
        <v>1</v>
      </c>
      <c r="C10" s="1186" t="s">
        <v>420</v>
      </c>
      <c r="D10" s="1186" t="s">
        <v>421</v>
      </c>
      <c r="E10" s="1186" t="s">
        <v>422</v>
      </c>
      <c r="F10" s="1186" t="s">
        <v>423</v>
      </c>
      <c r="G10" s="939" t="s">
        <v>266</v>
      </c>
      <c r="H10" s="423"/>
    </row>
    <row r="11" spans="2:10" ht="24.6" customHeight="1">
      <c r="B11" s="895"/>
      <c r="C11" s="1187"/>
      <c r="D11" s="1187"/>
      <c r="E11" s="1187"/>
      <c r="F11" s="1187"/>
      <c r="G11" s="940"/>
      <c r="H11" s="423"/>
    </row>
    <row r="12" spans="2:10" ht="29.1" customHeight="1">
      <c r="B12" s="895"/>
      <c r="C12" s="1187"/>
      <c r="D12" s="1187"/>
      <c r="E12" s="1187"/>
      <c r="F12" s="1187"/>
      <c r="G12" s="940"/>
      <c r="H12" s="423"/>
    </row>
    <row r="13" spans="2:10" ht="15.75">
      <c r="B13" s="424">
        <v>2020</v>
      </c>
      <c r="C13" s="425">
        <f>+'6-Cout économique du projet'!L64</f>
        <v>361429.24877093034</v>
      </c>
      <c r="D13" s="543">
        <v>0</v>
      </c>
      <c r="E13" s="425">
        <f>+D13+C13</f>
        <v>361429.24877093034</v>
      </c>
      <c r="F13" s="543">
        <v>0</v>
      </c>
      <c r="G13" s="713">
        <f>+F13-E13</f>
        <v>-361429.24877093034</v>
      </c>
      <c r="H13" s="423"/>
    </row>
    <row r="14" spans="2:10" ht="15.75">
      <c r="B14" s="424">
        <f>+B13+1</f>
        <v>2021</v>
      </c>
      <c r="C14" s="425">
        <f>+'6-Cout économique du projet'!M64</f>
        <v>788834.05637796409</v>
      </c>
      <c r="D14" s="543">
        <v>0</v>
      </c>
      <c r="E14" s="425">
        <f t="shared" ref="E14:E35" si="0">+D14+C14</f>
        <v>788834.05637796409</v>
      </c>
      <c r="F14" s="543">
        <v>0</v>
      </c>
      <c r="G14" s="713">
        <f t="shared" ref="G14:G35" si="1">+F14-E14</f>
        <v>-788834.05637796409</v>
      </c>
      <c r="H14" s="423"/>
    </row>
    <row r="15" spans="2:10" ht="15.75">
      <c r="B15" s="424">
        <f t="shared" ref="B15:B35" si="2">+B14+1</f>
        <v>2022</v>
      </c>
      <c r="C15" s="425">
        <f>+'6-Cout économique du projet'!N64</f>
        <v>244013.12416732311</v>
      </c>
      <c r="D15" s="543">
        <v>0</v>
      </c>
      <c r="E15" s="425">
        <f t="shared" si="0"/>
        <v>244013.12416732311</v>
      </c>
      <c r="F15" s="543">
        <v>0</v>
      </c>
      <c r="G15" s="713">
        <f t="shared" si="1"/>
        <v>-244013.12416732311</v>
      </c>
      <c r="H15" s="423"/>
    </row>
    <row r="16" spans="2:10" ht="15.75">
      <c r="B16" s="424">
        <f t="shared" si="2"/>
        <v>2023</v>
      </c>
      <c r="C16" s="543">
        <v>0</v>
      </c>
      <c r="D16" s="425">
        <f>+'7-Charges d''exp - économique'!F12</f>
        <v>96205.073622819007</v>
      </c>
      <c r="E16" s="425">
        <f t="shared" si="0"/>
        <v>96205.073622819007</v>
      </c>
      <c r="F16" s="707">
        <f>+'11-Bénéfice  disposition à paye'!H33</f>
        <v>236250</v>
      </c>
      <c r="G16" s="713">
        <f t="shared" si="1"/>
        <v>140044.92637718099</v>
      </c>
      <c r="H16" s="423"/>
    </row>
    <row r="17" spans="2:8" ht="15.75">
      <c r="B17" s="424">
        <f t="shared" si="2"/>
        <v>2024</v>
      </c>
      <c r="C17" s="543">
        <v>0</v>
      </c>
      <c r="D17" s="425">
        <f>+'7-Charges d''exp - économique'!F13</f>
        <v>96832.49801601129</v>
      </c>
      <c r="E17" s="425">
        <f t="shared" si="0"/>
        <v>96832.49801601129</v>
      </c>
      <c r="F17" s="707">
        <f>+'11-Bénéfice  disposition à paye'!H34</f>
        <v>257326.87500000003</v>
      </c>
      <c r="G17" s="713">
        <f t="shared" si="1"/>
        <v>160494.37698398874</v>
      </c>
      <c r="H17" s="423"/>
    </row>
    <row r="18" spans="2:8" ht="15.75">
      <c r="B18" s="424">
        <f t="shared" si="2"/>
        <v>2025</v>
      </c>
      <c r="C18" s="543">
        <v>0</v>
      </c>
      <c r="D18" s="425">
        <f>+'7-Charges d''exp - économique'!F14</f>
        <v>97491.293628863205</v>
      </c>
      <c r="E18" s="425">
        <f t="shared" si="0"/>
        <v>97491.293628863205</v>
      </c>
      <c r="F18" s="707">
        <f>+'11-Bénéfice  disposition à paye'!H35</f>
        <v>280096.00031250005</v>
      </c>
      <c r="G18" s="713">
        <f t="shared" si="1"/>
        <v>182604.70668363685</v>
      </c>
      <c r="H18" s="423"/>
    </row>
    <row r="19" spans="2:8" ht="15.75">
      <c r="B19" s="424">
        <f t="shared" si="2"/>
        <v>2026</v>
      </c>
      <c r="C19" s="543">
        <v>0</v>
      </c>
      <c r="D19" s="425">
        <f>+'7-Charges d''exp - économique'!F15</f>
        <v>98183.029022357718</v>
      </c>
      <c r="E19" s="425">
        <f t="shared" si="0"/>
        <v>98183.029022357718</v>
      </c>
      <c r="F19" s="707">
        <f>+'11-Bénéfice  disposition à paye'!H36</f>
        <v>304686.43425421882</v>
      </c>
      <c r="G19" s="713">
        <f t="shared" si="1"/>
        <v>206503.40523186111</v>
      </c>
      <c r="H19" s="423"/>
    </row>
    <row r="20" spans="2:8" ht="15.75">
      <c r="B20" s="424">
        <f t="shared" si="2"/>
        <v>2027</v>
      </c>
      <c r="C20" s="425">
        <f>+'6-Cout économique du projet'!J102</f>
        <v>75760.073550000001</v>
      </c>
      <c r="D20" s="425">
        <f>+'7-Charges d''exp - économique'!F16</f>
        <v>98909.351185526961</v>
      </c>
      <c r="E20" s="425">
        <f t="shared" si="0"/>
        <v>174669.42473552696</v>
      </c>
      <c r="F20" s="707">
        <f>+'11-Bénéfice  disposition à paye'!H37</f>
        <v>331236.80362113839</v>
      </c>
      <c r="G20" s="713">
        <f t="shared" si="1"/>
        <v>156567.37888561143</v>
      </c>
      <c r="H20" s="423"/>
    </row>
    <row r="21" spans="2:8" ht="15.75">
      <c r="B21" s="424">
        <f t="shared" si="2"/>
        <v>2028</v>
      </c>
      <c r="C21" s="543">
        <v>0</v>
      </c>
      <c r="D21" s="425">
        <f>+'7-Charges d''exp - économique'!F17</f>
        <v>99671.989456854644</v>
      </c>
      <c r="E21" s="425">
        <f t="shared" si="0"/>
        <v>99671.989456854644</v>
      </c>
      <c r="F21" s="707">
        <f>+'11-Bénéfice  disposition à paye'!H38</f>
        <v>359896.00149344571</v>
      </c>
      <c r="G21" s="713">
        <f t="shared" si="1"/>
        <v>260224.01203659107</v>
      </c>
      <c r="H21" s="423"/>
    </row>
    <row r="22" spans="2:8" ht="15.75">
      <c r="B22" s="424">
        <f t="shared" si="2"/>
        <v>2029</v>
      </c>
      <c r="C22" s="543">
        <v>0</v>
      </c>
      <c r="D22" s="425">
        <f>+'7-Charges d''exp - économique'!F18</f>
        <v>100472.75964174874</v>
      </c>
      <c r="E22" s="425">
        <f t="shared" si="0"/>
        <v>100472.75964174874</v>
      </c>
      <c r="F22" s="707">
        <f>+'11-Bénéfice  disposition à paye'!H39</f>
        <v>390823.93542377884</v>
      </c>
      <c r="G22" s="713">
        <f t="shared" si="1"/>
        <v>290351.1757820301</v>
      </c>
      <c r="H22" s="423"/>
    </row>
    <row r="23" spans="2:8" ht="15.75">
      <c r="B23" s="424">
        <f t="shared" si="2"/>
        <v>2030</v>
      </c>
      <c r="C23" s="543">
        <v>0</v>
      </c>
      <c r="D23" s="425">
        <f>+'7-Charges d''exp - économique'!F19</f>
        <v>101313.56833588751</v>
      </c>
      <c r="E23" s="425">
        <f t="shared" si="0"/>
        <v>101313.56833588751</v>
      </c>
      <c r="F23" s="707">
        <f>+'11-Bénéfice  disposition à paye'!H40</f>
        <v>424192.32962417114</v>
      </c>
      <c r="G23" s="713">
        <f t="shared" si="1"/>
        <v>322878.76128828363</v>
      </c>
      <c r="H23" s="423"/>
    </row>
    <row r="24" spans="2:8" ht="15.75">
      <c r="B24" s="424">
        <f t="shared" si="2"/>
        <v>2031</v>
      </c>
      <c r="C24" s="543">
        <v>0</v>
      </c>
      <c r="D24" s="425">
        <f>+'7-Charges d''exp - économique'!F20</f>
        <v>102196.41746473324</v>
      </c>
      <c r="E24" s="425">
        <f t="shared" si="0"/>
        <v>102196.41746473324</v>
      </c>
      <c r="F24" s="707">
        <f>+'11-Bénéfice  disposition à paye'!H41</f>
        <v>460185.58502552263</v>
      </c>
      <c r="G24" s="713">
        <f t="shared" si="1"/>
        <v>357989.16756078938</v>
      </c>
      <c r="H24" s="423"/>
    </row>
    <row r="25" spans="2:8" ht="15.75">
      <c r="B25" s="424">
        <f t="shared" si="2"/>
        <v>2032</v>
      </c>
      <c r="C25" s="425">
        <f>+'6-Cout économique du projet'!K102</f>
        <v>180445.03740730073</v>
      </c>
      <c r="D25" s="425">
        <f>+'7-Charges d''exp - économique'!F21</f>
        <v>103123.40905002126</v>
      </c>
      <c r="E25" s="425">
        <f t="shared" si="0"/>
        <v>283568.44645732199</v>
      </c>
      <c r="F25" s="707">
        <f>+'11-Bénéfice  disposition à paye'!H42</f>
        <v>499001.70136028063</v>
      </c>
      <c r="G25" s="713">
        <f t="shared" si="1"/>
        <v>215433.25490295864</v>
      </c>
      <c r="H25" s="423"/>
    </row>
    <row r="26" spans="2:8" ht="15.75">
      <c r="B26" s="424">
        <f t="shared" si="2"/>
        <v>2033</v>
      </c>
      <c r="C26" s="543">
        <v>0</v>
      </c>
      <c r="D26" s="425">
        <f>+'7-Charges d''exp - économique'!F22</f>
        <v>104096.75021457367</v>
      </c>
      <c r="E26" s="425">
        <f t="shared" si="0"/>
        <v>104096.75021457367</v>
      </c>
      <c r="F26" s="707">
        <f>+'11-Bénéfice  disposition à paye'!H43</f>
        <v>540853.26571561326</v>
      </c>
      <c r="G26" s="713">
        <f t="shared" si="1"/>
        <v>436756.51550103957</v>
      </c>
      <c r="H26" s="423"/>
    </row>
    <row r="27" spans="2:8" ht="15.75">
      <c r="B27" s="424">
        <f t="shared" si="2"/>
        <v>2034</v>
      </c>
      <c r="C27" s="543">
        <v>0</v>
      </c>
      <c r="D27" s="425">
        <f>+'7-Charges d''exp - économique'!F23</f>
        <v>105118.7584373537</v>
      </c>
      <c r="E27" s="425">
        <f t="shared" si="0"/>
        <v>105118.7584373537</v>
      </c>
      <c r="F27" s="707">
        <f>+'11-Bénéfice  disposition à paye'!H44</f>
        <v>585968.51232209755</v>
      </c>
      <c r="G27" s="713">
        <f t="shared" si="1"/>
        <v>480849.75388474384</v>
      </c>
      <c r="H27" s="423"/>
    </row>
    <row r="28" spans="2:8" ht="15.75">
      <c r="B28" s="424">
        <f t="shared" si="2"/>
        <v>2035</v>
      </c>
      <c r="C28" s="543">
        <v>0</v>
      </c>
      <c r="D28" s="425">
        <f>+'7-Charges d''exp - économique'!F24</f>
        <v>106191.86707127272</v>
      </c>
      <c r="E28" s="425">
        <f t="shared" si="0"/>
        <v>106191.86707127272</v>
      </c>
      <c r="F28" s="707">
        <f>+'11-Bénéfice  disposition à paye'!H45</f>
        <v>634592.45868334291</v>
      </c>
      <c r="G28" s="713">
        <f t="shared" si="1"/>
        <v>528400.59161207022</v>
      </c>
      <c r="H28" s="423"/>
    </row>
    <row r="29" spans="2:8" ht="15.75">
      <c r="B29" s="424">
        <f t="shared" si="2"/>
        <v>2036</v>
      </c>
      <c r="C29" s="543">
        <v>0</v>
      </c>
      <c r="D29" s="425">
        <f>+'7-Charges d''exp - économique'!F25</f>
        <v>107318.63113688771</v>
      </c>
      <c r="E29" s="425">
        <f t="shared" si="0"/>
        <v>107318.63113688771</v>
      </c>
      <c r="F29" s="707">
        <f>+'11-Bénéfice  disposition à paye'!H46</f>
        <v>686988.12351661699</v>
      </c>
      <c r="G29" s="713">
        <f t="shared" si="1"/>
        <v>579669.49237972929</v>
      </c>
      <c r="H29" s="423"/>
    </row>
    <row r="30" spans="2:8" ht="15.75">
      <c r="B30" s="424">
        <f t="shared" si="2"/>
        <v>2037</v>
      </c>
      <c r="C30" s="425">
        <f>+'6-Cout économique du projet'!L102</f>
        <v>123405.17672985879</v>
      </c>
      <c r="D30" s="425">
        <f>+'7-Charges d''exp - économique'!F26</f>
        <v>108501.73340578345</v>
      </c>
      <c r="E30" s="425">
        <f t="shared" si="0"/>
        <v>231906.91013564225</v>
      </c>
      <c r="F30" s="707">
        <f>+'11-Bénéfice  disposition à paye'!H47</f>
        <v>743437.83236519084</v>
      </c>
      <c r="G30" s="713">
        <f t="shared" si="1"/>
        <v>511530.92222954857</v>
      </c>
      <c r="H30" s="423"/>
    </row>
    <row r="31" spans="2:8" ht="15.75">
      <c r="B31" s="424">
        <f t="shared" si="2"/>
        <v>2038</v>
      </c>
      <c r="C31" s="543">
        <v>0</v>
      </c>
      <c r="D31" s="425">
        <f>+'7-Charges d''exp - économique'!F27</f>
        <v>109743.99078812398</v>
      </c>
      <c r="E31" s="425">
        <f t="shared" si="0"/>
        <v>109743.99078812398</v>
      </c>
      <c r="F31" s="707">
        <f>+'11-Bénéfice  disposition à paye'!H48</f>
        <v>804244.61716160318</v>
      </c>
      <c r="G31" s="713">
        <f t="shared" si="1"/>
        <v>694500.62637347914</v>
      </c>
      <c r="H31" s="423"/>
    </row>
    <row r="32" spans="2:8" ht="15.75">
      <c r="B32" s="424">
        <f t="shared" si="2"/>
        <v>2039</v>
      </c>
      <c r="C32" s="543">
        <v>0</v>
      </c>
      <c r="D32" s="425">
        <f>+'7-Charges d''exp - économique'!F28</f>
        <v>111048.3610395815</v>
      </c>
      <c r="E32" s="425">
        <f t="shared" si="0"/>
        <v>111048.3610395815</v>
      </c>
      <c r="F32" s="707">
        <f>+'11-Bénéfice  disposition à paye'!H49</f>
        <v>869733.71646934189</v>
      </c>
      <c r="G32" s="713">
        <f t="shared" si="1"/>
        <v>758685.35542976041</v>
      </c>
      <c r="H32" s="423"/>
    </row>
    <row r="33" spans="1:8" ht="15.75">
      <c r="B33" s="424">
        <f t="shared" si="2"/>
        <v>2040</v>
      </c>
      <c r="C33" s="543">
        <v>0</v>
      </c>
      <c r="D33" s="425">
        <f>+'7-Charges d''exp - économique'!F29</f>
        <v>112417.94980361193</v>
      </c>
      <c r="E33" s="425">
        <f t="shared" si="0"/>
        <v>112417.94980361193</v>
      </c>
      <c r="F33" s="707">
        <f>+'11-Bénéfice  disposition à paye'!H50</f>
        <v>940254.18361069122</v>
      </c>
      <c r="G33" s="713">
        <f t="shared" si="1"/>
        <v>827836.23380707926</v>
      </c>
      <c r="H33" s="423"/>
    </row>
    <row r="34" spans="1:8" ht="15.75">
      <c r="B34" s="424">
        <f t="shared" si="2"/>
        <v>2041</v>
      </c>
      <c r="C34" s="543">
        <v>0</v>
      </c>
      <c r="D34" s="425">
        <f>+'7-Charges d''exp - économique'!F30</f>
        <v>113856.01800584389</v>
      </c>
      <c r="E34" s="425">
        <f t="shared" si="0"/>
        <v>113856.01800584389</v>
      </c>
      <c r="F34" s="707">
        <f>+'11-Bénéfice  disposition à paye'!H51</f>
        <v>1016180.6104029538</v>
      </c>
      <c r="G34" s="713">
        <f t="shared" si="1"/>
        <v>902324.59239710995</v>
      </c>
      <c r="H34" s="423"/>
    </row>
    <row r="35" spans="1:8" ht="16.5" thickBot="1">
      <c r="B35" s="663">
        <f t="shared" si="2"/>
        <v>2042</v>
      </c>
      <c r="C35" s="688">
        <v>0</v>
      </c>
      <c r="D35" s="664">
        <f>+'7-Charges d''exp - économique'!F31</f>
        <v>115365.98961818742</v>
      </c>
      <c r="E35" s="664">
        <f t="shared" si="0"/>
        <v>115365.98961818742</v>
      </c>
      <c r="F35" s="714">
        <f>+'11-Bénéfice  disposition à paye'!H52</f>
        <v>1097914.9747763607</v>
      </c>
      <c r="G35" s="715">
        <f t="shared" si="1"/>
        <v>982548.98515817325</v>
      </c>
      <c r="H35" s="423"/>
    </row>
    <row r="36" spans="1:8" ht="15.75">
      <c r="B36" s="434"/>
      <c r="C36" s="434"/>
      <c r="D36" s="434"/>
      <c r="E36" s="434"/>
      <c r="F36" s="708"/>
      <c r="G36" s="712" t="s">
        <v>2</v>
      </c>
      <c r="H36" s="544" t="s">
        <v>294</v>
      </c>
    </row>
    <row r="37" spans="1:8" ht="16.5" thickBot="1">
      <c r="B37" s="434"/>
      <c r="C37" s="434"/>
      <c r="D37" s="434"/>
      <c r="E37" s="434"/>
      <c r="F37" s="709"/>
      <c r="G37" s="710">
        <f>+IRR(G13:G35)</f>
        <v>0.16062615980445147</v>
      </c>
      <c r="H37" s="711">
        <f>+NPV(+'3-DONNEE DE BASE'!D89,('12-TRE et VAN Disposition à pay'!G13:G35))</f>
        <v>2853508.3092467603</v>
      </c>
    </row>
    <row r="38" spans="1:8" ht="15.75" thickBot="1"/>
    <row r="39" spans="1:8" ht="24" customHeight="1" thickBot="1">
      <c r="B39" s="1200" t="s">
        <v>62</v>
      </c>
      <c r="C39" s="1201"/>
      <c r="D39" s="1201"/>
      <c r="E39" s="1201"/>
      <c r="F39" s="1202"/>
    </row>
    <row r="40" spans="1:8" ht="15.75" thickBot="1"/>
    <row r="41" spans="1:8" s="137" customFormat="1" ht="22.5" customHeight="1">
      <c r="B41" s="1211" t="s">
        <v>432</v>
      </c>
      <c r="C41" s="1212"/>
      <c r="D41" s="1212"/>
      <c r="E41" s="1212"/>
      <c r="F41" s="1212"/>
      <c r="G41" s="1213"/>
    </row>
    <row r="42" spans="1:8" s="137" customFormat="1" ht="19.5" customHeight="1">
      <c r="B42" s="811" t="s">
        <v>433</v>
      </c>
      <c r="C42" s="1209"/>
      <c r="D42" s="1209"/>
      <c r="E42" s="1209"/>
      <c r="F42" s="1209"/>
      <c r="G42" s="1210"/>
    </row>
    <row r="43" spans="1:8" ht="19.5" customHeight="1" thickBot="1">
      <c r="B43" s="1234" t="s">
        <v>434</v>
      </c>
      <c r="C43" s="1235"/>
      <c r="D43" s="1235"/>
      <c r="E43" s="1235"/>
      <c r="F43" s="1235"/>
      <c r="G43" s="1236"/>
    </row>
    <row r="44" spans="1:8" ht="17.100000000000001" customHeight="1" thickBot="1">
      <c r="A44" s="2"/>
      <c r="B44" s="799"/>
      <c r="C44" s="799"/>
      <c r="D44" s="799"/>
      <c r="E44" s="799"/>
      <c r="F44" s="799"/>
      <c r="G44" s="799"/>
    </row>
    <row r="45" spans="1:8" s="137" customFormat="1" ht="18.95" customHeight="1">
      <c r="A45" s="133"/>
      <c r="B45" s="1228" t="s">
        <v>413</v>
      </c>
      <c r="C45" s="1229"/>
      <c r="D45" s="1229"/>
      <c r="E45" s="1229"/>
      <c r="F45" s="1229"/>
      <c r="G45" s="1230"/>
    </row>
    <row r="46" spans="1:8" s="137" customFormat="1" ht="18" customHeight="1" thickBot="1">
      <c r="A46" s="133"/>
      <c r="B46" s="1231" t="s">
        <v>435</v>
      </c>
      <c r="C46" s="1232"/>
      <c r="D46" s="1232"/>
      <c r="E46" s="1232"/>
      <c r="F46" s="1232"/>
      <c r="G46" s="1233"/>
    </row>
  </sheetData>
  <mergeCells count="17">
    <mergeCell ref="B8:G8"/>
    <mergeCell ref="B39:F39"/>
    <mergeCell ref="B4:G4"/>
    <mergeCell ref="B5:G5"/>
    <mergeCell ref="B6:G6"/>
    <mergeCell ref="B10:B12"/>
    <mergeCell ref="C10:C12"/>
    <mergeCell ref="D10:D12"/>
    <mergeCell ref="E10:E12"/>
    <mergeCell ref="F10:F12"/>
    <mergeCell ref="G10:G12"/>
    <mergeCell ref="B45:G45"/>
    <mergeCell ref="B46:G46"/>
    <mergeCell ref="B41:G41"/>
    <mergeCell ref="B42:G42"/>
    <mergeCell ref="B43:G43"/>
    <mergeCell ref="B44:G4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I54"/>
  <sheetViews>
    <sheetView workbookViewId="0">
      <selection activeCell="B23" sqref="B23:D23"/>
    </sheetView>
  </sheetViews>
  <sheetFormatPr baseColWidth="10" defaultRowHeight="15"/>
  <cols>
    <col min="2" max="2" width="19" customWidth="1"/>
    <col min="3" max="3" width="22.42578125" customWidth="1"/>
    <col min="4" max="4" width="35.42578125" customWidth="1"/>
    <col min="5" max="5" width="28.28515625" customWidth="1"/>
    <col min="6" max="6" width="48" customWidth="1"/>
    <col min="7" max="7" width="45.42578125" customWidth="1"/>
  </cols>
  <sheetData>
    <row r="1" spans="2:7" ht="15.75" thickBot="1">
      <c r="G1" s="2"/>
    </row>
    <row r="2" spans="2:7" ht="21">
      <c r="B2" s="827" t="s">
        <v>168</v>
      </c>
      <c r="C2" s="828"/>
      <c r="D2" s="828"/>
      <c r="E2" s="828"/>
      <c r="F2" s="829"/>
      <c r="G2" s="307"/>
    </row>
    <row r="3" spans="2:7" ht="21">
      <c r="B3" s="830"/>
      <c r="C3" s="831"/>
      <c r="D3" s="831"/>
      <c r="E3" s="831"/>
      <c r="F3" s="832"/>
      <c r="G3" s="307"/>
    </row>
    <row r="4" spans="2:7" ht="21.75" thickBot="1">
      <c r="B4" s="833"/>
      <c r="C4" s="834"/>
      <c r="D4" s="834"/>
      <c r="E4" s="834"/>
      <c r="F4" s="835"/>
      <c r="G4" s="307"/>
    </row>
    <row r="5" spans="2:7" s="222" customFormat="1">
      <c r="B5" s="220"/>
      <c r="C5" s="220"/>
      <c r="D5" s="221"/>
      <c r="E5" s="221"/>
      <c r="F5" s="221"/>
      <c r="G5" s="221"/>
    </row>
    <row r="6" spans="2:7" ht="21">
      <c r="B6" s="836" t="s">
        <v>189</v>
      </c>
      <c r="C6" s="836"/>
      <c r="D6" s="836"/>
      <c r="E6" s="209"/>
      <c r="F6" s="209"/>
      <c r="G6" s="209"/>
    </row>
    <row r="7" spans="2:7" ht="18.75">
      <c r="B7" s="216"/>
      <c r="C7" s="217"/>
      <c r="D7" s="217"/>
      <c r="E7" s="217"/>
      <c r="F7" s="209"/>
      <c r="G7" s="209"/>
    </row>
    <row r="8" spans="2:7" s="137" customFormat="1" ht="18.75">
      <c r="B8" s="296" t="s">
        <v>310</v>
      </c>
      <c r="C8" s="219"/>
      <c r="D8" s="219"/>
      <c r="E8" s="219"/>
      <c r="F8" s="219"/>
      <c r="G8" s="209"/>
    </row>
    <row r="9" spans="2:7" s="137" customFormat="1" ht="18.75">
      <c r="B9" s="825" t="s">
        <v>169</v>
      </c>
      <c r="C9" s="825"/>
      <c r="D9" s="825"/>
      <c r="E9" s="825"/>
      <c r="F9" s="825"/>
      <c r="G9" s="223"/>
    </row>
    <row r="10" spans="2:7" s="218" customFormat="1" ht="17.25">
      <c r="B10" s="826" t="s">
        <v>297</v>
      </c>
      <c r="C10" s="826"/>
      <c r="D10" s="826"/>
      <c r="E10" s="826"/>
      <c r="F10" s="826"/>
      <c r="G10" s="215"/>
    </row>
    <row r="11" spans="2:7" s="218" customFormat="1" ht="17.25">
      <c r="B11" s="825" t="s">
        <v>311</v>
      </c>
      <c r="C11" s="825"/>
      <c r="D11" s="825"/>
      <c r="E11" s="825"/>
      <c r="F11" s="825"/>
      <c r="G11" s="215"/>
    </row>
    <row r="12" spans="2:7" s="137" customFormat="1" ht="17.25">
      <c r="B12" s="837" t="s">
        <v>301</v>
      </c>
      <c r="C12" s="837"/>
      <c r="D12" s="837"/>
      <c r="E12" s="837"/>
      <c r="F12" s="837"/>
      <c r="G12" s="214"/>
    </row>
    <row r="13" spans="2:7" s="137" customFormat="1" ht="17.25">
      <c r="B13" s="838" t="s">
        <v>298</v>
      </c>
      <c r="C13" s="838"/>
      <c r="D13" s="838"/>
      <c r="E13" s="838"/>
      <c r="F13" s="838"/>
      <c r="G13" s="214"/>
    </row>
    <row r="14" spans="2:7" s="218" customFormat="1" ht="17.25">
      <c r="B14" s="839" t="s">
        <v>299</v>
      </c>
      <c r="C14" s="839"/>
      <c r="D14" s="839"/>
      <c r="E14" s="839"/>
      <c r="F14" s="839"/>
      <c r="G14" s="215"/>
    </row>
    <row r="15" spans="2:7" s="218" customFormat="1" ht="17.25">
      <c r="B15" s="839" t="s">
        <v>300</v>
      </c>
      <c r="C15" s="839"/>
      <c r="D15" s="839"/>
      <c r="E15" s="839"/>
      <c r="F15" s="839"/>
      <c r="G15" s="215"/>
    </row>
    <row r="16" spans="2:7" s="218" customFormat="1" ht="17.25">
      <c r="B16" s="419"/>
      <c r="C16" s="419"/>
      <c r="D16" s="419"/>
      <c r="E16" s="419"/>
      <c r="F16" s="419"/>
      <c r="G16" s="215"/>
    </row>
    <row r="17" spans="1:7" ht="21">
      <c r="B17" s="817" t="s">
        <v>167</v>
      </c>
      <c r="C17" s="817"/>
      <c r="D17" s="817"/>
      <c r="E17" s="210"/>
      <c r="F17" s="210"/>
      <c r="G17" s="210"/>
    </row>
    <row r="18" spans="1:7" ht="18.75">
      <c r="B18" s="818" t="s">
        <v>182</v>
      </c>
      <c r="C18" s="818"/>
      <c r="D18" s="210"/>
      <c r="E18" s="210"/>
      <c r="F18" s="210"/>
      <c r="G18" s="211"/>
    </row>
    <row r="19" spans="1:7" ht="18.75">
      <c r="A19" s="2"/>
      <c r="B19" s="824" t="s">
        <v>302</v>
      </c>
      <c r="C19" s="824"/>
      <c r="D19" s="824"/>
      <c r="E19" s="824"/>
      <c r="F19" s="824"/>
      <c r="G19" s="211"/>
    </row>
    <row r="20" spans="1:7" ht="18.75">
      <c r="A20" s="2"/>
      <c r="B20" s="824" t="s">
        <v>303</v>
      </c>
      <c r="C20" s="824"/>
      <c r="D20" s="824"/>
      <c r="E20" s="824"/>
      <c r="F20" s="824"/>
      <c r="G20" s="211"/>
    </row>
    <row r="21" spans="1:7" ht="18.75">
      <c r="A21" s="2"/>
      <c r="B21" s="824" t="s">
        <v>480</v>
      </c>
      <c r="C21" s="824"/>
      <c r="D21" s="824"/>
      <c r="E21" s="824"/>
      <c r="F21" s="824"/>
      <c r="G21" s="211"/>
    </row>
    <row r="22" spans="1:7" ht="18.75">
      <c r="A22" s="2"/>
      <c r="B22" s="212"/>
      <c r="C22" s="212"/>
      <c r="D22" s="211"/>
      <c r="E22" s="211"/>
      <c r="F22" s="211"/>
      <c r="G22" s="211"/>
    </row>
    <row r="23" spans="1:7" ht="21.95" customHeight="1">
      <c r="A23" s="2"/>
      <c r="B23" s="817" t="s">
        <v>190</v>
      </c>
      <c r="C23" s="817"/>
      <c r="D23" s="817"/>
      <c r="E23" s="210"/>
      <c r="F23" s="210"/>
      <c r="G23" s="211"/>
    </row>
    <row r="24" spans="1:7" ht="18.75">
      <c r="B24" s="298" t="s">
        <v>312</v>
      </c>
      <c r="C24" s="297"/>
      <c r="D24" s="297"/>
      <c r="E24" s="297"/>
      <c r="F24" s="297"/>
      <c r="G24" s="211"/>
    </row>
    <row r="25" spans="1:7" s="137" customFormat="1" ht="18.75">
      <c r="B25" s="823" t="s">
        <v>191</v>
      </c>
      <c r="C25" s="823"/>
      <c r="D25" s="823"/>
      <c r="E25" s="823"/>
      <c r="F25" s="823"/>
      <c r="G25" s="211"/>
    </row>
    <row r="26" spans="1:7" ht="18.75">
      <c r="B26" s="819" t="s">
        <v>304</v>
      </c>
      <c r="C26" s="819"/>
      <c r="D26" s="819"/>
      <c r="E26" s="819"/>
      <c r="F26" s="819"/>
      <c r="G26" s="211"/>
    </row>
    <row r="27" spans="1:7" s="137" customFormat="1" ht="18.75">
      <c r="B27" s="299" t="s">
        <v>192</v>
      </c>
      <c r="C27" s="297"/>
      <c r="D27" s="297"/>
      <c r="E27" s="297"/>
      <c r="F27" s="297"/>
      <c r="G27" s="211"/>
    </row>
    <row r="28" spans="1:7" ht="18.75">
      <c r="B28" s="819" t="s">
        <v>203</v>
      </c>
      <c r="C28" s="819"/>
      <c r="D28" s="819"/>
      <c r="E28" s="819"/>
      <c r="F28" s="819"/>
      <c r="G28" s="211"/>
    </row>
    <row r="29" spans="1:7" ht="18.75">
      <c r="B29" s="819" t="s">
        <v>202</v>
      </c>
      <c r="C29" s="819"/>
      <c r="D29" s="819"/>
      <c r="E29" s="819"/>
      <c r="F29" s="819"/>
      <c r="G29" s="211"/>
    </row>
    <row r="30" spans="1:7" s="137" customFormat="1" ht="18.75">
      <c r="B30" s="299" t="s">
        <v>305</v>
      </c>
      <c r="C30" s="299"/>
      <c r="D30" s="299"/>
      <c r="E30" s="299"/>
      <c r="F30" s="299"/>
      <c r="G30" s="211"/>
    </row>
    <row r="31" spans="1:7" s="224" customFormat="1" ht="18.75">
      <c r="B31" s="819" t="s">
        <v>204</v>
      </c>
      <c r="C31" s="819"/>
      <c r="D31" s="819"/>
      <c r="E31" s="819"/>
      <c r="F31" s="819"/>
      <c r="G31" s="211"/>
    </row>
    <row r="32" spans="1:7" s="224" customFormat="1" ht="18.75">
      <c r="B32" s="822"/>
      <c r="C32" s="822"/>
      <c r="D32" s="822"/>
      <c r="E32" s="822"/>
      <c r="F32" s="822"/>
      <c r="G32" s="211"/>
    </row>
    <row r="33" spans="1:9" ht="18.75" customHeight="1">
      <c r="B33" s="817" t="s">
        <v>481</v>
      </c>
      <c r="C33" s="817"/>
      <c r="D33" s="817"/>
      <c r="E33" s="210"/>
      <c r="F33" s="210"/>
      <c r="G33" s="213"/>
    </row>
    <row r="34" spans="1:9" ht="18.75" customHeight="1">
      <c r="B34" s="819" t="s">
        <v>205</v>
      </c>
      <c r="C34" s="819"/>
      <c r="D34" s="819"/>
      <c r="E34" s="819"/>
      <c r="F34" s="819"/>
      <c r="G34" s="300"/>
      <c r="H34" s="222"/>
      <c r="I34" s="222"/>
    </row>
    <row r="35" spans="1:9" ht="18.75" customHeight="1">
      <c r="B35" s="821" t="s">
        <v>306</v>
      </c>
      <c r="C35" s="821"/>
      <c r="D35" s="821"/>
      <c r="E35" s="821"/>
      <c r="F35" s="821"/>
      <c r="G35" s="297"/>
      <c r="H35" s="222"/>
      <c r="I35" s="222"/>
    </row>
    <row r="36" spans="1:9" ht="18.75" customHeight="1">
      <c r="B36" s="418" t="s">
        <v>452</v>
      </c>
      <c r="C36" s="297"/>
      <c r="D36" s="297"/>
      <c r="E36" s="297"/>
      <c r="F36" s="297"/>
      <c r="G36" s="297"/>
      <c r="H36" s="222"/>
      <c r="I36" s="222"/>
    </row>
    <row r="37" spans="1:9" ht="18.75" customHeight="1">
      <c r="A37" s="4"/>
      <c r="B37" s="821" t="s">
        <v>453</v>
      </c>
      <c r="C37" s="821"/>
      <c r="D37" s="821"/>
      <c r="E37" s="821"/>
      <c r="F37" s="821"/>
      <c r="G37" s="301"/>
      <c r="H37" s="222"/>
      <c r="I37" s="222"/>
    </row>
    <row r="38" spans="1:9" ht="18.75" customHeight="1">
      <c r="A38" s="4"/>
      <c r="B38" s="821" t="s">
        <v>313</v>
      </c>
      <c r="C38" s="821"/>
      <c r="D38" s="821"/>
      <c r="E38" s="821"/>
      <c r="F38" s="821"/>
      <c r="G38" s="301"/>
      <c r="H38" s="222"/>
      <c r="I38" s="222"/>
    </row>
    <row r="39" spans="1:9" ht="18.75" customHeight="1">
      <c r="B39" s="820" t="s">
        <v>307</v>
      </c>
      <c r="C39" s="820"/>
      <c r="D39" s="820"/>
      <c r="E39" s="820"/>
      <c r="F39" s="820"/>
      <c r="G39" s="820"/>
    </row>
    <row r="40" spans="1:9" ht="18.75" customHeight="1">
      <c r="B40" s="841" t="s">
        <v>308</v>
      </c>
      <c r="C40" s="841"/>
      <c r="D40" s="841"/>
      <c r="E40" s="841"/>
      <c r="F40" s="841"/>
      <c r="G40" s="302"/>
    </row>
    <row r="41" spans="1:9" ht="18.75" customHeight="1">
      <c r="B41" s="842" t="s">
        <v>199</v>
      </c>
      <c r="C41" s="842"/>
      <c r="D41" s="842"/>
      <c r="E41" s="842"/>
      <c r="F41" s="842"/>
      <c r="G41" s="297"/>
    </row>
    <row r="42" spans="1:9" ht="18.75" customHeight="1">
      <c r="B42" s="820" t="s">
        <v>200</v>
      </c>
      <c r="C42" s="841"/>
      <c r="D42" s="841"/>
      <c r="E42" s="841"/>
      <c r="F42" s="841"/>
      <c r="G42" s="302"/>
    </row>
    <row r="43" spans="1:9" ht="18.75" customHeight="1">
      <c r="B43" s="820" t="s">
        <v>309</v>
      </c>
      <c r="C43" s="820"/>
      <c r="D43" s="820"/>
      <c r="E43" s="820"/>
      <c r="F43" s="820"/>
      <c r="G43" s="297"/>
    </row>
    <row r="44" spans="1:9" ht="18.75" customHeight="1">
      <c r="B44" s="842" t="s">
        <v>201</v>
      </c>
      <c r="C44" s="842"/>
      <c r="D44" s="842"/>
      <c r="E44" s="842"/>
      <c r="F44" s="842"/>
      <c r="G44" s="300"/>
    </row>
    <row r="45" spans="1:9" ht="18.75">
      <c r="B45" s="238"/>
      <c r="C45" s="238"/>
      <c r="D45" s="238"/>
      <c r="E45" s="238"/>
      <c r="F45" s="238"/>
      <c r="G45" s="239"/>
    </row>
    <row r="46" spans="1:9" ht="21" customHeight="1">
      <c r="B46" s="817" t="s">
        <v>406</v>
      </c>
      <c r="C46" s="817"/>
      <c r="D46" s="796"/>
      <c r="E46" s="308"/>
      <c r="F46" s="308"/>
      <c r="G46" s="210"/>
      <c r="H46" s="210"/>
    </row>
    <row r="47" spans="1:9" s="137" customFormat="1" ht="18.75" customHeight="1">
      <c r="B47" s="819" t="s">
        <v>206</v>
      </c>
      <c r="C47" s="819"/>
      <c r="D47" s="819"/>
      <c r="E47" s="819"/>
      <c r="F47" s="819"/>
    </row>
    <row r="48" spans="1:9" s="137" customFormat="1" ht="18.75" customHeight="1">
      <c r="B48" s="819" t="s">
        <v>207</v>
      </c>
      <c r="C48" s="819"/>
      <c r="D48" s="819"/>
      <c r="E48" s="819"/>
      <c r="F48" s="819"/>
    </row>
    <row r="49" spans="2:6" s="137" customFormat="1" ht="18.75" customHeight="1">
      <c r="B49" s="819" t="s">
        <v>208</v>
      </c>
      <c r="C49" s="819"/>
      <c r="D49" s="819"/>
      <c r="E49" s="819"/>
      <c r="F49" s="819"/>
    </row>
    <row r="50" spans="2:6" s="137" customFormat="1" ht="18.75" customHeight="1">
      <c r="B50" s="299" t="s">
        <v>209</v>
      </c>
      <c r="C50" s="299"/>
      <c r="D50" s="299"/>
      <c r="E50" s="299"/>
      <c r="F50" s="299"/>
    </row>
    <row r="51" spans="2:6" s="137" customFormat="1" ht="18.75" customHeight="1">
      <c r="B51" s="819" t="s">
        <v>210</v>
      </c>
      <c r="C51" s="819"/>
      <c r="D51" s="819"/>
      <c r="E51" s="819"/>
      <c r="F51" s="819"/>
    </row>
    <row r="52" spans="2:6" s="137" customFormat="1" ht="18.75" customHeight="1">
      <c r="B52" s="299" t="s">
        <v>211</v>
      </c>
      <c r="C52" s="299"/>
      <c r="D52" s="299"/>
      <c r="E52" s="299"/>
      <c r="F52" s="299"/>
    </row>
    <row r="53" spans="2:6" s="137" customFormat="1" ht="18.75" customHeight="1">
      <c r="B53" s="821" t="s">
        <v>198</v>
      </c>
      <c r="C53" s="821"/>
      <c r="D53" s="821"/>
      <c r="E53" s="821"/>
      <c r="F53" s="821"/>
    </row>
    <row r="54" spans="2:6" ht="18.75" customHeight="1">
      <c r="B54" s="840" t="s">
        <v>212</v>
      </c>
      <c r="C54" s="840"/>
      <c r="D54" s="840"/>
      <c r="E54" s="840"/>
      <c r="F54" s="840"/>
    </row>
  </sheetData>
  <mergeCells count="39">
    <mergeCell ref="B51:F51"/>
    <mergeCell ref="B54:F54"/>
    <mergeCell ref="B53:F53"/>
    <mergeCell ref="B35:F35"/>
    <mergeCell ref="B47:F47"/>
    <mergeCell ref="B48:F48"/>
    <mergeCell ref="B49:F49"/>
    <mergeCell ref="B42:F42"/>
    <mergeCell ref="B44:F44"/>
    <mergeCell ref="B43:F43"/>
    <mergeCell ref="B41:F41"/>
    <mergeCell ref="B38:F38"/>
    <mergeCell ref="B46:C46"/>
    <mergeCell ref="B40:F40"/>
    <mergeCell ref="B9:F9"/>
    <mergeCell ref="B10:F10"/>
    <mergeCell ref="B2:F4"/>
    <mergeCell ref="B6:D6"/>
    <mergeCell ref="B17:D17"/>
    <mergeCell ref="B11:F11"/>
    <mergeCell ref="B12:F12"/>
    <mergeCell ref="B13:F13"/>
    <mergeCell ref="B14:F14"/>
    <mergeCell ref="B15:F15"/>
    <mergeCell ref="B33:D33"/>
    <mergeCell ref="B18:C18"/>
    <mergeCell ref="B34:F34"/>
    <mergeCell ref="B31:F31"/>
    <mergeCell ref="B39:G39"/>
    <mergeCell ref="B37:F37"/>
    <mergeCell ref="B32:F32"/>
    <mergeCell ref="B29:F29"/>
    <mergeCell ref="B26:F26"/>
    <mergeCell ref="B25:F25"/>
    <mergeCell ref="B19:F19"/>
    <mergeCell ref="B28:F28"/>
    <mergeCell ref="B21:F21"/>
    <mergeCell ref="B20:F20"/>
    <mergeCell ref="B23:D2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sheetPr>
    <tabColor rgb="FF92D050"/>
    <pageSetUpPr fitToPage="1"/>
  </sheetPr>
  <dimension ref="B1:S99"/>
  <sheetViews>
    <sheetView topLeftCell="B1" zoomScale="89" zoomScaleNormal="89" workbookViewId="0">
      <selection activeCell="G17" sqref="G17"/>
    </sheetView>
  </sheetViews>
  <sheetFormatPr baseColWidth="10" defaultRowHeight="15"/>
  <cols>
    <col min="1" max="1" width="2.140625" customWidth="1"/>
    <col min="2" max="2" width="63.28515625" customWidth="1"/>
    <col min="3" max="3" width="75.7109375" customWidth="1"/>
    <col min="4" max="4" width="12.28515625" style="39" customWidth="1"/>
    <col min="5" max="5" width="17.85546875" style="246" customWidth="1"/>
    <col min="6" max="6" width="14.140625" customWidth="1"/>
    <col min="7" max="7" width="10.85546875" style="245" customWidth="1"/>
    <col min="8" max="8" width="5" customWidth="1"/>
    <col min="9" max="9" width="57" customWidth="1"/>
  </cols>
  <sheetData>
    <row r="1" spans="2:16" ht="15.75" thickBot="1"/>
    <row r="2" spans="2:16" ht="30.95" customHeight="1">
      <c r="B2" s="843" t="s">
        <v>213</v>
      </c>
      <c r="C2" s="844"/>
      <c r="D2" s="844"/>
      <c r="E2" s="844"/>
      <c r="F2" s="844"/>
      <c r="G2" s="844"/>
      <c r="H2" s="844"/>
      <c r="I2" s="844"/>
      <c r="J2" s="844"/>
      <c r="K2" s="844"/>
      <c r="L2" s="844"/>
      <c r="M2" s="845"/>
    </row>
    <row r="3" spans="2:16" ht="21.6" customHeight="1">
      <c r="B3" s="846"/>
      <c r="C3" s="847"/>
      <c r="D3" s="847"/>
      <c r="E3" s="847"/>
      <c r="F3" s="847"/>
      <c r="G3" s="847"/>
      <c r="H3" s="847"/>
      <c r="I3" s="847"/>
      <c r="J3" s="847"/>
      <c r="K3" s="847"/>
      <c r="L3" s="847"/>
      <c r="M3" s="848"/>
    </row>
    <row r="4" spans="2:16" ht="12.95" customHeight="1">
      <c r="B4" s="846"/>
      <c r="C4" s="847"/>
      <c r="D4" s="847"/>
      <c r="E4" s="847"/>
      <c r="F4" s="847"/>
      <c r="G4" s="847"/>
      <c r="H4" s="847"/>
      <c r="I4" s="847"/>
      <c r="J4" s="847"/>
      <c r="K4" s="847"/>
      <c r="L4" s="847"/>
      <c r="M4" s="848"/>
    </row>
    <row r="5" spans="2:16" ht="30" customHeight="1" thickBot="1">
      <c r="B5" s="849"/>
      <c r="C5" s="850"/>
      <c r="D5" s="850"/>
      <c r="E5" s="850"/>
      <c r="F5" s="850"/>
      <c r="G5" s="850"/>
      <c r="H5" s="850"/>
      <c r="I5" s="850"/>
      <c r="J5" s="850"/>
      <c r="K5" s="850"/>
      <c r="L5" s="850"/>
      <c r="M5" s="851"/>
    </row>
    <row r="6" spans="2:16" s="137" customFormat="1" ht="26.45" customHeight="1" thickBot="1">
      <c r="B6" s="241"/>
      <c r="C6" s="241"/>
      <c r="D6" s="241"/>
      <c r="E6" s="241"/>
      <c r="G6" s="243"/>
    </row>
    <row r="7" spans="2:16" s="137" customFormat="1" ht="43.5" customHeight="1" thickBot="1">
      <c r="B7" s="242" t="s">
        <v>217</v>
      </c>
      <c r="C7" s="456"/>
      <c r="D7" s="457" t="s">
        <v>438</v>
      </c>
      <c r="E7" s="458" t="s">
        <v>215</v>
      </c>
      <c r="F7" s="459" t="s">
        <v>216</v>
      </c>
      <c r="G7" s="460"/>
      <c r="H7" s="202"/>
      <c r="I7" s="448" t="s">
        <v>379</v>
      </c>
      <c r="J7" s="882" t="s">
        <v>318</v>
      </c>
      <c r="K7" s="882"/>
      <c r="L7" s="882"/>
      <c r="M7" s="883"/>
    </row>
    <row r="8" spans="2:16" ht="15" customHeight="1">
      <c r="B8" s="852" t="s">
        <v>214</v>
      </c>
      <c r="C8" s="452" t="s">
        <v>20</v>
      </c>
      <c r="D8" s="453">
        <v>2019</v>
      </c>
      <c r="E8" s="454">
        <v>69550</v>
      </c>
      <c r="F8" s="455">
        <v>5.0000000000000001E-3</v>
      </c>
      <c r="G8" s="426"/>
      <c r="H8" s="46"/>
      <c r="I8" s="542" t="s">
        <v>319</v>
      </c>
      <c r="J8" s="884"/>
      <c r="K8" s="884"/>
      <c r="L8" s="884"/>
      <c r="M8" s="885"/>
    </row>
    <row r="9" spans="2:16" ht="15" customHeight="1">
      <c r="B9" s="853"/>
      <c r="C9" s="452" t="s">
        <v>21</v>
      </c>
      <c r="D9" s="453">
        <v>2019</v>
      </c>
      <c r="E9" s="454">
        <v>27910</v>
      </c>
      <c r="F9" s="455">
        <v>4.0000000000000001E-3</v>
      </c>
      <c r="G9" s="426"/>
      <c r="H9" s="46"/>
      <c r="I9" s="542" t="s">
        <v>320</v>
      </c>
      <c r="J9" s="884"/>
      <c r="K9" s="884"/>
      <c r="L9" s="884"/>
      <c r="M9" s="885"/>
    </row>
    <row r="10" spans="2:16" ht="15.75" customHeight="1">
      <c r="B10" s="853"/>
      <c r="C10" s="452" t="s">
        <v>22</v>
      </c>
      <c r="D10" s="454">
        <v>2019</v>
      </c>
      <c r="E10" s="454">
        <v>6540</v>
      </c>
      <c r="F10" s="455">
        <v>3.0000000000000001E-3</v>
      </c>
      <c r="G10" s="426"/>
      <c r="H10" s="244"/>
      <c r="I10" s="542" t="s">
        <v>321</v>
      </c>
      <c r="J10" s="884"/>
      <c r="K10" s="884"/>
      <c r="L10" s="884"/>
      <c r="M10" s="885"/>
      <c r="N10" s="244"/>
      <c r="O10" s="244"/>
      <c r="P10" s="244"/>
    </row>
    <row r="11" spans="2:16" ht="16.5" thickBot="1">
      <c r="B11" s="853"/>
      <c r="C11" s="759" t="s">
        <v>261</v>
      </c>
      <c r="D11" s="760"/>
      <c r="E11" s="454">
        <f>+E10+E9+E8</f>
        <v>104000</v>
      </c>
      <c r="F11" s="761"/>
      <c r="G11" s="717"/>
      <c r="H11" s="244"/>
      <c r="I11" s="449" t="s">
        <v>322</v>
      </c>
      <c r="J11" s="884"/>
      <c r="K11" s="884"/>
      <c r="L11" s="884"/>
      <c r="M11" s="885"/>
      <c r="N11" s="244"/>
      <c r="O11" s="244"/>
      <c r="P11" s="244"/>
    </row>
    <row r="12" spans="2:16" s="137" customFormat="1" ht="36.75" customHeight="1" thickBot="1">
      <c r="B12" s="242" t="s">
        <v>217</v>
      </c>
      <c r="C12" s="762"/>
      <c r="D12" s="763" t="s">
        <v>218</v>
      </c>
      <c r="E12" s="764" t="s">
        <v>232</v>
      </c>
      <c r="F12" s="765" t="s">
        <v>233</v>
      </c>
      <c r="G12" s="766" t="s">
        <v>234</v>
      </c>
      <c r="H12" s="303"/>
      <c r="I12" s="450" t="s">
        <v>379</v>
      </c>
      <c r="J12" s="886" t="s">
        <v>396</v>
      </c>
      <c r="K12" s="887"/>
      <c r="L12" s="887"/>
      <c r="M12" s="888"/>
      <c r="N12" s="303"/>
      <c r="O12" s="304"/>
      <c r="P12" s="303"/>
    </row>
    <row r="13" spans="2:16" ht="23.1" customHeight="1">
      <c r="B13" s="864" t="s">
        <v>10</v>
      </c>
      <c r="C13" s="751" t="s">
        <v>118</v>
      </c>
      <c r="D13" s="752"/>
      <c r="E13" s="753"/>
      <c r="F13" s="754">
        <v>13500</v>
      </c>
      <c r="G13" s="755"/>
      <c r="H13" s="2"/>
      <c r="I13" s="528" t="s">
        <v>323</v>
      </c>
      <c r="J13" s="887"/>
      <c r="K13" s="887"/>
      <c r="L13" s="887"/>
      <c r="M13" s="888"/>
      <c r="N13" s="305"/>
      <c r="O13" s="2"/>
    </row>
    <row r="14" spans="2:16" s="137" customFormat="1" ht="29.1" customHeight="1">
      <c r="B14" s="866"/>
      <c r="C14" s="462" t="s">
        <v>119</v>
      </c>
      <c r="D14" s="463"/>
      <c r="E14" s="464"/>
      <c r="F14" s="465"/>
      <c r="G14" s="466">
        <v>15</v>
      </c>
      <c r="H14" s="133"/>
      <c r="I14" s="529" t="s">
        <v>324</v>
      </c>
      <c r="J14" s="887"/>
      <c r="K14" s="887"/>
      <c r="L14" s="887"/>
      <c r="M14" s="888"/>
      <c r="N14" s="133"/>
      <c r="O14" s="133"/>
    </row>
    <row r="15" spans="2:16" ht="42.75" customHeight="1">
      <c r="B15" s="866"/>
      <c r="C15" s="467" t="s">
        <v>162</v>
      </c>
      <c r="D15" s="468">
        <v>0.1</v>
      </c>
      <c r="E15" s="469"/>
      <c r="F15" s="470"/>
      <c r="G15" s="426"/>
      <c r="H15" s="2"/>
      <c r="I15" s="530" t="s">
        <v>325</v>
      </c>
      <c r="J15" s="887"/>
      <c r="K15" s="887"/>
      <c r="L15" s="887"/>
      <c r="M15" s="888"/>
      <c r="N15" s="2"/>
      <c r="O15" s="2"/>
    </row>
    <row r="16" spans="2:16" s="137" customFormat="1" ht="58.5" customHeight="1">
      <c r="B16" s="866"/>
      <c r="C16" s="471" t="s">
        <v>183</v>
      </c>
      <c r="D16" s="472"/>
      <c r="E16" s="464"/>
      <c r="F16" s="473"/>
      <c r="G16" s="466">
        <v>800000</v>
      </c>
      <c r="H16" s="25"/>
      <c r="I16" s="531" t="s">
        <v>380</v>
      </c>
      <c r="J16" s="887"/>
      <c r="K16" s="887"/>
      <c r="L16" s="887"/>
      <c r="M16" s="888"/>
      <c r="N16" s="133"/>
      <c r="O16" s="133"/>
    </row>
    <row r="17" spans="2:13" ht="49.5" customHeight="1">
      <c r="B17" s="866"/>
      <c r="C17" s="471" t="s">
        <v>174</v>
      </c>
      <c r="D17" s="474">
        <v>7.8E-2</v>
      </c>
      <c r="E17" s="475"/>
      <c r="F17" s="470"/>
      <c r="G17" s="426"/>
      <c r="I17" s="532" t="s">
        <v>326</v>
      </c>
      <c r="J17" s="887"/>
      <c r="K17" s="887"/>
      <c r="L17" s="887"/>
      <c r="M17" s="888"/>
    </row>
    <row r="18" spans="2:13" ht="53.25" customHeight="1">
      <c r="B18" s="866"/>
      <c r="C18" s="471" t="s">
        <v>327</v>
      </c>
      <c r="D18" s="468">
        <v>5.2999999999999999E-2</v>
      </c>
      <c r="E18" s="475"/>
      <c r="F18" s="470"/>
      <c r="G18" s="426"/>
      <c r="H18" s="25"/>
      <c r="I18" s="530" t="s">
        <v>328</v>
      </c>
      <c r="J18" s="887"/>
      <c r="K18" s="887"/>
      <c r="L18" s="887"/>
      <c r="M18" s="888"/>
    </row>
    <row r="19" spans="2:13" s="137" customFormat="1" ht="78.75">
      <c r="B19" s="866"/>
      <c r="C19" s="471" t="s">
        <v>387</v>
      </c>
      <c r="D19" s="474">
        <v>9.5000000000000001E-2</v>
      </c>
      <c r="E19" s="476"/>
      <c r="F19" s="473"/>
      <c r="G19" s="429"/>
      <c r="H19" s="138"/>
      <c r="I19" s="533" t="s">
        <v>329</v>
      </c>
      <c r="J19" s="887"/>
      <c r="K19" s="887"/>
      <c r="L19" s="887"/>
      <c r="M19" s="888"/>
    </row>
    <row r="20" spans="2:13" s="137" customFormat="1" ht="63">
      <c r="B20" s="866"/>
      <c r="C20" s="471" t="s">
        <v>388</v>
      </c>
      <c r="D20" s="474">
        <v>4.4999999999999998E-2</v>
      </c>
      <c r="E20" s="476"/>
      <c r="F20" s="473"/>
      <c r="G20" s="429"/>
      <c r="H20" s="138"/>
      <c r="I20" s="530" t="s">
        <v>330</v>
      </c>
      <c r="J20" s="887"/>
      <c r="K20" s="887"/>
      <c r="L20" s="887"/>
      <c r="M20" s="888"/>
    </row>
    <row r="21" spans="2:13" s="137" customFormat="1" ht="66.75" customHeight="1">
      <c r="B21" s="866"/>
      <c r="C21" s="471" t="s">
        <v>389</v>
      </c>
      <c r="D21" s="474"/>
      <c r="E21" s="476"/>
      <c r="F21" s="473"/>
      <c r="G21" s="429"/>
      <c r="H21" s="138"/>
      <c r="I21" s="530" t="s">
        <v>331</v>
      </c>
      <c r="J21" s="887"/>
      <c r="K21" s="887"/>
      <c r="L21" s="887"/>
      <c r="M21" s="888"/>
    </row>
    <row r="22" spans="2:13" s="137" customFormat="1" ht="27.6" customHeight="1">
      <c r="B22" s="866"/>
      <c r="C22" s="471" t="s">
        <v>124</v>
      </c>
      <c r="D22" s="474">
        <v>0.09</v>
      </c>
      <c r="E22" s="476"/>
      <c r="F22" s="473"/>
      <c r="G22" s="429"/>
      <c r="H22" s="138"/>
      <c r="I22" s="528" t="s">
        <v>460</v>
      </c>
      <c r="J22" s="887"/>
      <c r="K22" s="887"/>
      <c r="L22" s="887"/>
      <c r="M22" s="888"/>
    </row>
    <row r="23" spans="2:13" s="137" customFormat="1" ht="25.5" customHeight="1">
      <c r="B23" s="866"/>
      <c r="C23" s="471" t="s">
        <v>125</v>
      </c>
      <c r="D23" s="474">
        <v>0.05</v>
      </c>
      <c r="E23" s="476"/>
      <c r="F23" s="473"/>
      <c r="G23" s="429"/>
      <c r="H23" s="138"/>
      <c r="I23" s="528" t="s">
        <v>461</v>
      </c>
      <c r="J23" s="887"/>
      <c r="K23" s="887"/>
      <c r="L23" s="887"/>
      <c r="M23" s="888"/>
    </row>
    <row r="24" spans="2:13" s="137" customFormat="1" ht="31.5">
      <c r="B24" s="866"/>
      <c r="C24" s="471" t="s">
        <v>126</v>
      </c>
      <c r="D24" s="474">
        <v>0.05</v>
      </c>
      <c r="E24" s="476"/>
      <c r="F24" s="473"/>
      <c r="G24" s="429"/>
      <c r="H24" s="138"/>
      <c r="I24" s="530" t="s">
        <v>462</v>
      </c>
      <c r="J24" s="887"/>
      <c r="K24" s="887"/>
      <c r="L24" s="887"/>
      <c r="M24" s="888"/>
    </row>
    <row r="25" spans="2:13" s="137" customFormat="1" ht="28.5" customHeight="1">
      <c r="B25" s="866"/>
      <c r="C25" s="471" t="s">
        <v>170</v>
      </c>
      <c r="D25" s="474">
        <v>0</v>
      </c>
      <c r="E25" s="476"/>
      <c r="F25" s="473"/>
      <c r="G25" s="429"/>
      <c r="H25" s="138"/>
      <c r="I25" s="534"/>
      <c r="J25" s="887"/>
      <c r="K25" s="887"/>
      <c r="L25" s="887"/>
      <c r="M25" s="888"/>
    </row>
    <row r="26" spans="2:13" s="137" customFormat="1" ht="51.75" customHeight="1">
      <c r="B26" s="866"/>
      <c r="C26" s="471" t="s">
        <v>459</v>
      </c>
      <c r="D26" s="474">
        <v>6.7000000000000004E-2</v>
      </c>
      <c r="E26" s="476">
        <f>+'3-DONNEE DE BASE'!I25</f>
        <v>0</v>
      </c>
      <c r="F26" s="473"/>
      <c r="G26" s="429"/>
      <c r="H26" s="138"/>
      <c r="I26" s="530" t="s">
        <v>332</v>
      </c>
      <c r="J26" s="887"/>
      <c r="K26" s="887"/>
      <c r="L26" s="887"/>
      <c r="M26" s="888"/>
    </row>
    <row r="27" spans="2:13" s="137" customFormat="1" ht="34.5" customHeight="1">
      <c r="B27" s="866"/>
      <c r="C27" s="471" t="s">
        <v>127</v>
      </c>
      <c r="D27" s="474">
        <v>5.2999999999999999E-2</v>
      </c>
      <c r="E27" s="476"/>
      <c r="F27" s="473"/>
      <c r="G27" s="429"/>
      <c r="H27" s="138"/>
      <c r="I27" s="530" t="s">
        <v>333</v>
      </c>
      <c r="J27" s="887"/>
      <c r="K27" s="887"/>
      <c r="L27" s="887"/>
      <c r="M27" s="888"/>
    </row>
    <row r="28" spans="2:13" s="137" customFormat="1" ht="36" customHeight="1" thickBot="1">
      <c r="B28" s="865"/>
      <c r="C28" s="523" t="s">
        <v>128</v>
      </c>
      <c r="D28" s="756">
        <v>0.05</v>
      </c>
      <c r="E28" s="757"/>
      <c r="F28" s="758"/>
      <c r="G28" s="433"/>
      <c r="H28" s="138"/>
      <c r="I28" s="530" t="s">
        <v>334</v>
      </c>
      <c r="J28" s="887"/>
      <c r="K28" s="887"/>
      <c r="L28" s="887"/>
      <c r="M28" s="888"/>
    </row>
    <row r="29" spans="2:13" ht="14.45" customHeight="1">
      <c r="B29" s="857" t="s">
        <v>219</v>
      </c>
      <c r="C29" s="747"/>
      <c r="D29" s="748"/>
      <c r="E29" s="749"/>
      <c r="F29" s="750"/>
      <c r="G29" s="679"/>
      <c r="H29" s="2"/>
      <c r="I29" s="529"/>
      <c r="J29" s="889" t="s">
        <v>381</v>
      </c>
      <c r="K29" s="889"/>
      <c r="L29" s="889"/>
      <c r="M29" s="890"/>
    </row>
    <row r="30" spans="2:13" ht="14.45" customHeight="1">
      <c r="B30" s="857"/>
      <c r="C30" s="479" t="s">
        <v>454</v>
      </c>
      <c r="D30" s="461"/>
      <c r="E30" s="478"/>
      <c r="F30" s="470"/>
      <c r="G30" s="426"/>
      <c r="H30" s="2"/>
      <c r="I30" s="528" t="s">
        <v>340</v>
      </c>
      <c r="J30" s="889"/>
      <c r="K30" s="889"/>
      <c r="L30" s="889"/>
      <c r="M30" s="890"/>
    </row>
    <row r="31" spans="2:13" ht="14.45" customHeight="1">
      <c r="B31" s="857"/>
      <c r="C31" s="479" t="s">
        <v>129</v>
      </c>
      <c r="D31" s="480">
        <v>1</v>
      </c>
      <c r="E31" s="478"/>
      <c r="F31" s="470"/>
      <c r="G31" s="426"/>
      <c r="H31" s="2"/>
      <c r="I31" s="535" t="s">
        <v>341</v>
      </c>
      <c r="J31" s="889"/>
      <c r="K31" s="889"/>
      <c r="L31" s="889"/>
      <c r="M31" s="890"/>
    </row>
    <row r="32" spans="2:13" ht="14.45" customHeight="1">
      <c r="B32" s="857"/>
      <c r="C32" s="479" t="s">
        <v>130</v>
      </c>
      <c r="D32" s="480">
        <v>0</v>
      </c>
      <c r="E32" s="478"/>
      <c r="F32" s="470"/>
      <c r="G32" s="426"/>
      <c r="H32" s="2"/>
      <c r="I32" s="535" t="s">
        <v>342</v>
      </c>
      <c r="J32" s="889"/>
      <c r="K32" s="889"/>
      <c r="L32" s="889"/>
      <c r="M32" s="890"/>
    </row>
    <row r="33" spans="2:13" ht="14.45" customHeight="1">
      <c r="B33" s="857"/>
      <c r="C33" s="479" t="s">
        <v>131</v>
      </c>
      <c r="D33" s="480">
        <f>100%-D31-D32</f>
        <v>0</v>
      </c>
      <c r="E33" s="478"/>
      <c r="F33" s="470"/>
      <c r="G33" s="426"/>
      <c r="H33" s="2"/>
      <c r="I33" s="535" t="s">
        <v>343</v>
      </c>
      <c r="J33" s="889"/>
      <c r="K33" s="889"/>
      <c r="L33" s="889"/>
      <c r="M33" s="890"/>
    </row>
    <row r="34" spans="2:13" ht="14.45" customHeight="1">
      <c r="B34" s="857"/>
      <c r="C34" s="481" t="s">
        <v>132</v>
      </c>
      <c r="D34" s="482"/>
      <c r="E34" s="478"/>
      <c r="F34" s="470"/>
      <c r="G34" s="426"/>
      <c r="H34" s="2"/>
      <c r="I34" s="528" t="s">
        <v>344</v>
      </c>
      <c r="J34" s="889"/>
      <c r="K34" s="889"/>
      <c r="L34" s="889"/>
      <c r="M34" s="890"/>
    </row>
    <row r="35" spans="2:13" ht="14.45" customHeight="1">
      <c r="B35" s="857"/>
      <c r="C35" s="479" t="s">
        <v>129</v>
      </c>
      <c r="D35" s="480">
        <v>1</v>
      </c>
      <c r="E35" s="478"/>
      <c r="F35" s="470"/>
      <c r="G35" s="426"/>
      <c r="H35" s="2"/>
      <c r="I35" s="535" t="s">
        <v>341</v>
      </c>
      <c r="J35" s="889"/>
      <c r="K35" s="889"/>
      <c r="L35" s="889"/>
      <c r="M35" s="890"/>
    </row>
    <row r="36" spans="2:13" ht="14.45" customHeight="1">
      <c r="B36" s="857"/>
      <c r="C36" s="479" t="s">
        <v>130</v>
      </c>
      <c r="D36" s="480">
        <v>0</v>
      </c>
      <c r="E36" s="478"/>
      <c r="F36" s="470"/>
      <c r="G36" s="426"/>
      <c r="H36" s="2"/>
      <c r="I36" s="535" t="s">
        <v>342</v>
      </c>
      <c r="J36" s="889"/>
      <c r="K36" s="889"/>
      <c r="L36" s="889"/>
      <c r="M36" s="890"/>
    </row>
    <row r="37" spans="2:13" ht="14.45" customHeight="1">
      <c r="B37" s="857"/>
      <c r="C37" s="479" t="s">
        <v>131</v>
      </c>
      <c r="D37" s="480">
        <f>100%-D36-D35</f>
        <v>0</v>
      </c>
      <c r="E37" s="478"/>
      <c r="F37" s="470"/>
      <c r="G37" s="426"/>
      <c r="H37" s="2"/>
      <c r="I37" s="535" t="s">
        <v>343</v>
      </c>
      <c r="J37" s="889"/>
      <c r="K37" s="889"/>
      <c r="L37" s="889"/>
      <c r="M37" s="890"/>
    </row>
    <row r="38" spans="2:13" ht="14.45" customHeight="1">
      <c r="B38" s="857"/>
      <c r="C38" s="479" t="s">
        <v>455</v>
      </c>
      <c r="D38" s="482" t="s">
        <v>133</v>
      </c>
      <c r="E38" s="478"/>
      <c r="F38" s="470"/>
      <c r="G38" s="426"/>
      <c r="H38" s="2"/>
      <c r="I38" s="528" t="s">
        <v>345</v>
      </c>
      <c r="J38" s="889"/>
      <c r="K38" s="889"/>
      <c r="L38" s="889"/>
      <c r="M38" s="890"/>
    </row>
    <row r="39" spans="2:13" ht="14.45" customHeight="1">
      <c r="B39" s="857"/>
      <c r="C39" s="479" t="s">
        <v>129</v>
      </c>
      <c r="D39" s="480">
        <v>0</v>
      </c>
      <c r="E39" s="478"/>
      <c r="F39" s="470"/>
      <c r="G39" s="426"/>
      <c r="H39" s="2"/>
      <c r="I39" s="535" t="s">
        <v>341</v>
      </c>
      <c r="J39" s="889"/>
      <c r="K39" s="889"/>
      <c r="L39" s="889"/>
      <c r="M39" s="890"/>
    </row>
    <row r="40" spans="2:13" ht="14.45" customHeight="1">
      <c r="B40" s="857"/>
      <c r="C40" s="479" t="s">
        <v>130</v>
      </c>
      <c r="D40" s="480">
        <v>0.8</v>
      </c>
      <c r="E40" s="478"/>
      <c r="F40" s="470"/>
      <c r="G40" s="426"/>
      <c r="H40" s="2"/>
      <c r="I40" s="535" t="s">
        <v>342</v>
      </c>
      <c r="J40" s="889"/>
      <c r="K40" s="889"/>
      <c r="L40" s="889"/>
      <c r="M40" s="890"/>
    </row>
    <row r="41" spans="2:13" ht="14.45" customHeight="1">
      <c r="B41" s="857"/>
      <c r="C41" s="479" t="s">
        <v>131</v>
      </c>
      <c r="D41" s="480">
        <f>100%-D40-D39</f>
        <v>0.19999999999999996</v>
      </c>
      <c r="E41" s="478"/>
      <c r="F41" s="470"/>
      <c r="G41" s="426"/>
      <c r="H41" s="2"/>
      <c r="I41" s="535" t="s">
        <v>343</v>
      </c>
      <c r="J41" s="889"/>
      <c r="K41" s="889"/>
      <c r="L41" s="889"/>
      <c r="M41" s="890"/>
    </row>
    <row r="42" spans="2:13" ht="14.45" customHeight="1">
      <c r="B42" s="857"/>
      <c r="C42" s="479" t="s">
        <v>456</v>
      </c>
      <c r="D42" s="483" t="s">
        <v>133</v>
      </c>
      <c r="E42" s="478"/>
      <c r="F42" s="470"/>
      <c r="G42" s="426"/>
      <c r="H42" s="2"/>
      <c r="I42" s="528" t="s">
        <v>346</v>
      </c>
      <c r="J42" s="889"/>
      <c r="K42" s="889"/>
      <c r="L42" s="889"/>
      <c r="M42" s="890"/>
    </row>
    <row r="43" spans="2:13" ht="14.45" customHeight="1">
      <c r="B43" s="857"/>
      <c r="C43" s="479" t="s">
        <v>129</v>
      </c>
      <c r="D43" s="480">
        <v>0</v>
      </c>
      <c r="E43" s="478"/>
      <c r="F43" s="470"/>
      <c r="G43" s="426"/>
      <c r="H43" s="2"/>
      <c r="I43" s="535" t="s">
        <v>341</v>
      </c>
      <c r="J43" s="889"/>
      <c r="K43" s="889"/>
      <c r="L43" s="889"/>
      <c r="M43" s="890"/>
    </row>
    <row r="44" spans="2:13" ht="14.45" customHeight="1">
      <c r="B44" s="857"/>
      <c r="C44" s="479" t="s">
        <v>130</v>
      </c>
      <c r="D44" s="480">
        <v>0.8</v>
      </c>
      <c r="E44" s="478"/>
      <c r="F44" s="470"/>
      <c r="G44" s="426"/>
      <c r="H44" s="2"/>
      <c r="I44" s="535" t="s">
        <v>342</v>
      </c>
      <c r="J44" s="889"/>
      <c r="K44" s="889"/>
      <c r="L44" s="889"/>
      <c r="M44" s="890"/>
    </row>
    <row r="45" spans="2:13" ht="14.45" customHeight="1">
      <c r="B45" s="857"/>
      <c r="C45" s="479" t="s">
        <v>131</v>
      </c>
      <c r="D45" s="480">
        <f>100%-D44-D43</f>
        <v>0.19999999999999996</v>
      </c>
      <c r="E45" s="478"/>
      <c r="F45" s="470"/>
      <c r="G45" s="426"/>
      <c r="H45" s="2"/>
      <c r="I45" s="535" t="s">
        <v>343</v>
      </c>
      <c r="J45" s="889"/>
      <c r="K45" s="889"/>
      <c r="L45" s="889"/>
      <c r="M45" s="890"/>
    </row>
    <row r="46" spans="2:13" ht="14.45" customHeight="1">
      <c r="B46" s="857"/>
      <c r="C46" s="479" t="s">
        <v>457</v>
      </c>
      <c r="D46" s="483" t="s">
        <v>133</v>
      </c>
      <c r="E46" s="478"/>
      <c r="F46" s="470"/>
      <c r="G46" s="426"/>
      <c r="H46" s="2"/>
      <c r="I46" s="528" t="s">
        <v>347</v>
      </c>
      <c r="J46" s="889"/>
      <c r="K46" s="889"/>
      <c r="L46" s="889"/>
      <c r="M46" s="890"/>
    </row>
    <row r="47" spans="2:13" ht="14.45" customHeight="1">
      <c r="B47" s="857"/>
      <c r="C47" s="479" t="s">
        <v>129</v>
      </c>
      <c r="D47" s="480">
        <v>0</v>
      </c>
      <c r="E47" s="478"/>
      <c r="F47" s="470"/>
      <c r="G47" s="426"/>
      <c r="H47" s="2"/>
      <c r="I47" s="535" t="s">
        <v>341</v>
      </c>
      <c r="J47" s="889"/>
      <c r="K47" s="889"/>
      <c r="L47" s="889"/>
      <c r="M47" s="890"/>
    </row>
    <row r="48" spans="2:13" ht="14.45" customHeight="1">
      <c r="B48" s="857"/>
      <c r="C48" s="479" t="s">
        <v>130</v>
      </c>
      <c r="D48" s="480">
        <v>0.4</v>
      </c>
      <c r="E48" s="478"/>
      <c r="F48" s="470"/>
      <c r="G48" s="426"/>
      <c r="H48" s="2"/>
      <c r="I48" s="535" t="s">
        <v>342</v>
      </c>
      <c r="J48" s="889"/>
      <c r="K48" s="889"/>
      <c r="L48" s="889"/>
      <c r="M48" s="890"/>
    </row>
    <row r="49" spans="2:13" ht="14.45" customHeight="1">
      <c r="B49" s="857"/>
      <c r="C49" s="479" t="s">
        <v>131</v>
      </c>
      <c r="D49" s="480">
        <f>100%-D48-D47</f>
        <v>0.6</v>
      </c>
      <c r="E49" s="478"/>
      <c r="F49" s="470"/>
      <c r="G49" s="426"/>
      <c r="H49" s="2"/>
      <c r="I49" s="535" t="s">
        <v>343</v>
      </c>
      <c r="J49" s="889"/>
      <c r="K49" s="889"/>
      <c r="L49" s="889"/>
      <c r="M49" s="890"/>
    </row>
    <row r="50" spans="2:13" ht="14.45" customHeight="1">
      <c r="B50" s="857"/>
      <c r="C50" s="479" t="s">
        <v>458</v>
      </c>
      <c r="D50" s="483"/>
      <c r="E50" s="478"/>
      <c r="F50" s="470"/>
      <c r="G50" s="426"/>
      <c r="H50" s="2"/>
      <c r="I50" s="528" t="s">
        <v>348</v>
      </c>
      <c r="J50" s="889"/>
      <c r="K50" s="889"/>
      <c r="L50" s="889"/>
      <c r="M50" s="890"/>
    </row>
    <row r="51" spans="2:13" ht="14.45" customHeight="1">
      <c r="B51" s="857"/>
      <c r="C51" s="479" t="s">
        <v>129</v>
      </c>
      <c r="D51" s="480">
        <v>0.3</v>
      </c>
      <c r="E51" s="478"/>
      <c r="F51" s="470"/>
      <c r="G51" s="426"/>
      <c r="H51" s="2"/>
      <c r="I51" s="535" t="s">
        <v>341</v>
      </c>
      <c r="J51" s="889"/>
      <c r="K51" s="889"/>
      <c r="L51" s="889"/>
      <c r="M51" s="890"/>
    </row>
    <row r="52" spans="2:13" ht="14.45" customHeight="1">
      <c r="B52" s="857"/>
      <c r="C52" s="479" t="s">
        <v>130</v>
      </c>
      <c r="D52" s="480">
        <v>0.6</v>
      </c>
      <c r="E52" s="478"/>
      <c r="F52" s="470"/>
      <c r="G52" s="426"/>
      <c r="H52" s="2"/>
      <c r="I52" s="535" t="s">
        <v>342</v>
      </c>
      <c r="J52" s="889"/>
      <c r="K52" s="889"/>
      <c r="L52" s="889"/>
      <c r="M52" s="890"/>
    </row>
    <row r="53" spans="2:13" ht="15" customHeight="1" thickBot="1">
      <c r="B53" s="857"/>
      <c r="C53" s="767" t="s">
        <v>131</v>
      </c>
      <c r="D53" s="768">
        <f>100%-D52-D51</f>
        <v>0.10000000000000003</v>
      </c>
      <c r="E53" s="769"/>
      <c r="F53" s="716"/>
      <c r="G53" s="717"/>
      <c r="H53" s="2"/>
      <c r="I53" s="535" t="s">
        <v>343</v>
      </c>
      <c r="J53" s="889"/>
      <c r="K53" s="889"/>
      <c r="L53" s="889"/>
      <c r="M53" s="890"/>
    </row>
    <row r="54" spans="2:13" s="137" customFormat="1" ht="21.95" customHeight="1">
      <c r="B54" s="862" t="s">
        <v>220</v>
      </c>
      <c r="C54" s="774" t="s">
        <v>193</v>
      </c>
      <c r="D54" s="775">
        <v>0.4</v>
      </c>
      <c r="E54" s="776"/>
      <c r="F54" s="777"/>
      <c r="G54" s="778"/>
      <c r="I54" s="536" t="s">
        <v>349</v>
      </c>
      <c r="J54" s="854" t="s">
        <v>390</v>
      </c>
      <c r="K54" s="854"/>
      <c r="L54" s="854"/>
      <c r="M54" s="855"/>
    </row>
    <row r="55" spans="2:13" s="137" customFormat="1" ht="27" customHeight="1" thickBot="1">
      <c r="B55" s="863"/>
      <c r="C55" s="437" t="s">
        <v>194</v>
      </c>
      <c r="D55" s="484">
        <v>0.6</v>
      </c>
      <c r="E55" s="485"/>
      <c r="F55" s="486"/>
      <c r="G55" s="429"/>
      <c r="I55" s="536" t="s">
        <v>350</v>
      </c>
      <c r="J55" s="854"/>
      <c r="K55" s="854"/>
      <c r="L55" s="854"/>
      <c r="M55" s="855"/>
    </row>
    <row r="56" spans="2:13" s="137" customFormat="1" ht="22.5" customHeight="1">
      <c r="B56" s="864" t="s">
        <v>221</v>
      </c>
      <c r="C56" s="487" t="s">
        <v>195</v>
      </c>
      <c r="D56" s="484">
        <v>0.4</v>
      </c>
      <c r="E56" s="485"/>
      <c r="F56" s="488"/>
      <c r="G56" s="429"/>
      <c r="I56" s="536" t="s">
        <v>349</v>
      </c>
      <c r="J56" s="854" t="s">
        <v>391</v>
      </c>
      <c r="K56" s="854"/>
      <c r="L56" s="854"/>
      <c r="M56" s="855"/>
    </row>
    <row r="57" spans="2:13" s="137" customFormat="1" ht="27" customHeight="1" thickBot="1">
      <c r="B57" s="865"/>
      <c r="C57" s="487" t="s">
        <v>196</v>
      </c>
      <c r="D57" s="484">
        <v>0.6</v>
      </c>
      <c r="E57" s="485"/>
      <c r="F57" s="473"/>
      <c r="G57" s="429"/>
      <c r="I57" s="536" t="s">
        <v>351</v>
      </c>
      <c r="J57" s="854"/>
      <c r="K57" s="854"/>
      <c r="L57" s="854"/>
      <c r="M57" s="855"/>
    </row>
    <row r="58" spans="2:13" s="137" customFormat="1" ht="29.45" customHeight="1">
      <c r="B58" s="864" t="s">
        <v>222</v>
      </c>
      <c r="C58" s="437" t="s">
        <v>82</v>
      </c>
      <c r="D58" s="484">
        <v>0.4</v>
      </c>
      <c r="E58" s="485"/>
      <c r="F58" s="473"/>
      <c r="G58" s="429"/>
      <c r="I58" s="536" t="s">
        <v>352</v>
      </c>
      <c r="J58" s="854" t="s">
        <v>392</v>
      </c>
      <c r="K58" s="854"/>
      <c r="L58" s="854"/>
      <c r="M58" s="855"/>
    </row>
    <row r="59" spans="2:13" s="137" customFormat="1" ht="29.1" customHeight="1" thickBot="1">
      <c r="B59" s="865"/>
      <c r="C59" s="487" t="s">
        <v>83</v>
      </c>
      <c r="D59" s="484">
        <v>0.6</v>
      </c>
      <c r="E59" s="485"/>
      <c r="F59" s="473"/>
      <c r="G59" s="429"/>
      <c r="I59" s="536" t="s">
        <v>353</v>
      </c>
      <c r="J59" s="854"/>
      <c r="K59" s="854"/>
      <c r="L59" s="854"/>
      <c r="M59" s="855"/>
    </row>
    <row r="60" spans="2:13" s="137" customFormat="1" ht="34.5" customHeight="1">
      <c r="B60" s="864" t="s">
        <v>223</v>
      </c>
      <c r="C60" s="487" t="s">
        <v>195</v>
      </c>
      <c r="D60" s="484">
        <v>0.5</v>
      </c>
      <c r="E60" s="485"/>
      <c r="F60" s="473"/>
      <c r="G60" s="429"/>
      <c r="I60" s="536" t="s">
        <v>354</v>
      </c>
      <c r="J60" s="854" t="s">
        <v>393</v>
      </c>
      <c r="K60" s="854"/>
      <c r="L60" s="854"/>
      <c r="M60" s="855"/>
    </row>
    <row r="61" spans="2:13" ht="31.5" customHeight="1" thickBot="1">
      <c r="B61" s="865"/>
      <c r="C61" s="487" t="s">
        <v>197</v>
      </c>
      <c r="D61" s="484">
        <v>0.5</v>
      </c>
      <c r="E61" s="485"/>
      <c r="F61" s="470"/>
      <c r="G61" s="426"/>
      <c r="I61" s="536" t="s">
        <v>355</v>
      </c>
      <c r="J61" s="854"/>
      <c r="K61" s="854"/>
      <c r="L61" s="854"/>
      <c r="M61" s="855"/>
    </row>
    <row r="62" spans="2:13" ht="56.45" customHeight="1" thickBot="1">
      <c r="B62" s="451" t="s">
        <v>224</v>
      </c>
      <c r="C62" s="779" t="s">
        <v>171</v>
      </c>
      <c r="D62" s="780">
        <v>1</v>
      </c>
      <c r="E62" s="735"/>
      <c r="F62" s="526"/>
      <c r="G62" s="527"/>
      <c r="I62" s="536" t="s">
        <v>394</v>
      </c>
      <c r="J62" s="854" t="s">
        <v>395</v>
      </c>
      <c r="K62" s="854"/>
      <c r="L62" s="854"/>
      <c r="M62" s="855"/>
    </row>
    <row r="63" spans="2:13" s="137" customFormat="1" ht="20.100000000000001" customHeight="1">
      <c r="B63" s="866" t="s">
        <v>231</v>
      </c>
      <c r="C63" s="770" t="s">
        <v>225</v>
      </c>
      <c r="D63" s="771"/>
      <c r="E63" s="772">
        <v>0.8</v>
      </c>
      <c r="F63" s="773"/>
      <c r="G63" s="680"/>
      <c r="I63" s="437" t="s">
        <v>356</v>
      </c>
      <c r="J63" s="854" t="s">
        <v>382</v>
      </c>
      <c r="K63" s="854"/>
      <c r="L63" s="854"/>
      <c r="M63" s="855"/>
    </row>
    <row r="64" spans="2:13" ht="32.1" customHeight="1">
      <c r="B64" s="866"/>
      <c r="C64" s="492" t="s">
        <v>226</v>
      </c>
      <c r="D64" s="493"/>
      <c r="E64" s="491">
        <v>0.84</v>
      </c>
      <c r="F64" s="470"/>
      <c r="G64" s="426"/>
      <c r="I64" s="537" t="s">
        <v>357</v>
      </c>
      <c r="J64" s="854"/>
      <c r="K64" s="854"/>
      <c r="L64" s="854"/>
      <c r="M64" s="855"/>
    </row>
    <row r="65" spans="2:19" s="137" customFormat="1" ht="20.100000000000001" customHeight="1">
      <c r="B65" s="866"/>
      <c r="C65" s="489" t="s">
        <v>227</v>
      </c>
      <c r="D65" s="493"/>
      <c r="E65" s="491">
        <v>2.2400000000000002</v>
      </c>
      <c r="F65" s="473"/>
      <c r="G65" s="429"/>
      <c r="I65" s="437" t="s">
        <v>358</v>
      </c>
      <c r="J65" s="854"/>
      <c r="K65" s="854"/>
      <c r="L65" s="854"/>
      <c r="M65" s="855"/>
      <c r="S65" s="137">
        <f>126/150</f>
        <v>0.84</v>
      </c>
    </row>
    <row r="66" spans="2:19" s="24" customFormat="1" ht="29.45" customHeight="1">
      <c r="B66" s="866"/>
      <c r="C66" s="494" t="s">
        <v>228</v>
      </c>
      <c r="D66" s="495"/>
      <c r="E66" s="496">
        <v>0.89</v>
      </c>
      <c r="F66" s="497"/>
      <c r="G66" s="426"/>
      <c r="I66" s="538" t="s">
        <v>359</v>
      </c>
      <c r="J66" s="854"/>
      <c r="K66" s="854"/>
      <c r="L66" s="854"/>
      <c r="M66" s="855"/>
    </row>
    <row r="67" spans="2:19" s="137" customFormat="1" ht="21.95" customHeight="1" thickBot="1">
      <c r="B67" s="865"/>
      <c r="C67" s="489" t="s">
        <v>229</v>
      </c>
      <c r="D67" s="490"/>
      <c r="E67" s="491">
        <v>1</v>
      </c>
      <c r="F67" s="473"/>
      <c r="G67" s="429"/>
      <c r="I67" s="437" t="s">
        <v>360</v>
      </c>
      <c r="J67" s="854"/>
      <c r="K67" s="854"/>
      <c r="L67" s="854"/>
      <c r="M67" s="855"/>
    </row>
    <row r="68" spans="2:19" ht="5.45" hidden="1" customHeight="1" thickBot="1">
      <c r="B68" s="867"/>
      <c r="C68" s="498"/>
      <c r="D68" s="499"/>
      <c r="E68" s="485"/>
      <c r="F68" s="470"/>
      <c r="G68" s="426"/>
      <c r="I68" s="477"/>
      <c r="J68" s="3"/>
      <c r="K68" s="3"/>
      <c r="L68" s="3"/>
      <c r="M68" s="306"/>
    </row>
    <row r="69" spans="2:19" ht="18.600000000000001" hidden="1" customHeight="1" thickBot="1">
      <c r="B69" s="868"/>
      <c r="C69" s="498"/>
      <c r="D69" s="499"/>
      <c r="E69" s="485"/>
      <c r="F69" s="470"/>
      <c r="G69" s="426"/>
      <c r="I69" s="477" t="e">
        <f>+H67/H69</f>
        <v>#DIV/0!</v>
      </c>
      <c r="J69" s="3"/>
      <c r="K69" s="3"/>
      <c r="L69" s="3"/>
      <c r="M69" s="306"/>
    </row>
    <row r="70" spans="2:19" ht="18.600000000000001" hidden="1" customHeight="1" thickBot="1">
      <c r="B70" s="868"/>
      <c r="C70" s="498"/>
      <c r="D70" s="499"/>
      <c r="E70" s="485"/>
      <c r="F70" s="470"/>
      <c r="G70" s="426"/>
      <c r="H70" s="2"/>
      <c r="I70" s="477"/>
      <c r="J70" s="3"/>
      <c r="K70" s="3"/>
      <c r="L70" s="3"/>
      <c r="M70" s="306"/>
    </row>
    <row r="71" spans="2:19" ht="18.600000000000001" hidden="1" customHeight="1" thickBot="1">
      <c r="B71" s="869"/>
      <c r="C71" s="781"/>
      <c r="D71" s="782"/>
      <c r="E71" s="723"/>
      <c r="F71" s="716"/>
      <c r="G71" s="717"/>
      <c r="H71" s="2"/>
      <c r="I71" s="477">
        <f>150*89%</f>
        <v>133.5</v>
      </c>
      <c r="J71" s="3"/>
      <c r="K71" s="3"/>
      <c r="L71" s="3"/>
      <c r="M71" s="306"/>
    </row>
    <row r="72" spans="2:19" ht="18.600000000000001" customHeight="1">
      <c r="B72" s="864" t="s">
        <v>230</v>
      </c>
      <c r="C72" s="783" t="s">
        <v>56</v>
      </c>
      <c r="D72" s="784"/>
      <c r="E72" s="776"/>
      <c r="F72" s="721"/>
      <c r="G72" s="722"/>
      <c r="H72" s="2"/>
      <c r="I72" s="435" t="s">
        <v>364</v>
      </c>
      <c r="J72" s="854" t="s">
        <v>383</v>
      </c>
      <c r="K72" s="854"/>
      <c r="L72" s="854"/>
      <c r="M72" s="855"/>
    </row>
    <row r="73" spans="2:19" s="137" customFormat="1" ht="31.5">
      <c r="B73" s="866"/>
      <c r="C73" s="462" t="s">
        <v>51</v>
      </c>
      <c r="D73" s="501">
        <v>0.1</v>
      </c>
      <c r="E73" s="502"/>
      <c r="F73" s="473"/>
      <c r="G73" s="429"/>
      <c r="H73" s="133"/>
      <c r="I73" s="506" t="s">
        <v>361</v>
      </c>
      <c r="J73" s="854"/>
      <c r="K73" s="854"/>
      <c r="L73" s="854"/>
      <c r="M73" s="855"/>
    </row>
    <row r="74" spans="2:19" ht="18.95" customHeight="1">
      <c r="B74" s="866"/>
      <c r="C74" s="503" t="s">
        <v>439</v>
      </c>
      <c r="D74" s="504"/>
      <c r="E74" s="505">
        <v>20</v>
      </c>
      <c r="F74" s="470"/>
      <c r="G74" s="426"/>
      <c r="H74" s="2"/>
      <c r="I74" s="477" t="s">
        <v>362</v>
      </c>
      <c r="J74" s="854"/>
      <c r="K74" s="854"/>
      <c r="L74" s="854"/>
      <c r="M74" s="855"/>
    </row>
    <row r="75" spans="2:19" s="137" customFormat="1" ht="33" customHeight="1">
      <c r="B75" s="866"/>
      <c r="C75" s="506" t="s">
        <v>52</v>
      </c>
      <c r="D75" s="507"/>
      <c r="E75" s="507"/>
      <c r="F75" s="473"/>
      <c r="G75" s="508">
        <v>2.5</v>
      </c>
      <c r="H75" s="133"/>
      <c r="I75" s="534" t="s">
        <v>363</v>
      </c>
      <c r="J75" s="854"/>
      <c r="K75" s="854"/>
      <c r="L75" s="854"/>
      <c r="M75" s="855"/>
    </row>
    <row r="76" spans="2:19" s="137" customFormat="1" ht="23.1" customHeight="1">
      <c r="B76" s="866"/>
      <c r="C76" s="500" t="s">
        <v>23</v>
      </c>
      <c r="D76" s="509"/>
      <c r="E76" s="509"/>
      <c r="F76" s="473"/>
      <c r="G76" s="429"/>
      <c r="H76" s="133"/>
      <c r="I76" s="437" t="s">
        <v>365</v>
      </c>
      <c r="J76" s="854"/>
      <c r="K76" s="854"/>
      <c r="L76" s="854"/>
      <c r="M76" s="855"/>
    </row>
    <row r="77" spans="2:19" s="137" customFormat="1" ht="33" customHeight="1">
      <c r="B77" s="866"/>
      <c r="C77" s="462" t="s">
        <v>24</v>
      </c>
      <c r="D77" s="501">
        <v>0.05</v>
      </c>
      <c r="E77" s="510"/>
      <c r="F77" s="473"/>
      <c r="G77" s="429"/>
      <c r="H77" s="133"/>
      <c r="I77" s="506" t="s">
        <v>366</v>
      </c>
      <c r="J77" s="854"/>
      <c r="K77" s="854"/>
      <c r="L77" s="854"/>
      <c r="M77" s="855"/>
    </row>
    <row r="78" spans="2:19" s="137" customFormat="1" ht="50.25" customHeight="1">
      <c r="B78" s="866"/>
      <c r="C78" s="462" t="s">
        <v>25</v>
      </c>
      <c r="D78" s="501">
        <v>0.1</v>
      </c>
      <c r="E78" s="510"/>
      <c r="F78" s="473"/>
      <c r="G78" s="429"/>
      <c r="H78" s="133"/>
      <c r="I78" s="506" t="s">
        <v>367</v>
      </c>
      <c r="J78" s="854"/>
      <c r="K78" s="854"/>
      <c r="L78" s="854"/>
      <c r="M78" s="855"/>
    </row>
    <row r="79" spans="2:19" s="137" customFormat="1" ht="35.450000000000003" customHeight="1">
      <c r="B79" s="866"/>
      <c r="C79" s="462" t="s">
        <v>26</v>
      </c>
      <c r="D79" s="507"/>
      <c r="E79" s="507"/>
      <c r="F79" s="473"/>
      <c r="G79" s="508">
        <v>1.5</v>
      </c>
      <c r="H79" s="133"/>
      <c r="I79" s="534" t="s">
        <v>368</v>
      </c>
      <c r="J79" s="854"/>
      <c r="K79" s="854"/>
      <c r="L79" s="854"/>
      <c r="M79" s="855"/>
    </row>
    <row r="80" spans="2:19" ht="36.75" customHeight="1">
      <c r="B80" s="866"/>
      <c r="C80" s="462" t="s">
        <v>27</v>
      </c>
      <c r="D80" s="507"/>
      <c r="E80" s="507"/>
      <c r="F80" s="470"/>
      <c r="G80" s="511">
        <v>0.8</v>
      </c>
      <c r="H80" s="2"/>
      <c r="I80" s="534" t="s">
        <v>369</v>
      </c>
      <c r="J80" s="854"/>
      <c r="K80" s="854"/>
      <c r="L80" s="854"/>
      <c r="M80" s="855"/>
    </row>
    <row r="81" spans="2:13" ht="18.600000000000001" hidden="1" customHeight="1">
      <c r="B81" s="866"/>
      <c r="C81" s="503" t="s">
        <v>28</v>
      </c>
      <c r="D81" s="504"/>
      <c r="E81" s="505">
        <v>20</v>
      </c>
      <c r="F81" s="470"/>
      <c r="G81" s="512"/>
      <c r="H81" s="2"/>
      <c r="I81" s="477"/>
      <c r="J81" s="854"/>
      <c r="K81" s="854"/>
      <c r="L81" s="854"/>
      <c r="M81" s="855"/>
    </row>
    <row r="82" spans="2:13" s="137" customFormat="1" ht="18.600000000000001" customHeight="1">
      <c r="B82" s="866"/>
      <c r="C82" s="506" t="s">
        <v>262</v>
      </c>
      <c r="D82" s="513"/>
      <c r="E82" s="514">
        <v>20</v>
      </c>
      <c r="F82" s="473"/>
      <c r="G82" s="515"/>
      <c r="H82" s="133"/>
      <c r="I82" s="534" t="s">
        <v>370</v>
      </c>
      <c r="J82" s="854"/>
      <c r="K82" s="854"/>
      <c r="L82" s="854"/>
      <c r="M82" s="855"/>
    </row>
    <row r="83" spans="2:13" ht="18.600000000000001" customHeight="1" thickBot="1">
      <c r="B83" s="865"/>
      <c r="C83" s="785" t="s">
        <v>263</v>
      </c>
      <c r="D83" s="786"/>
      <c r="E83" s="787">
        <v>30</v>
      </c>
      <c r="F83" s="526"/>
      <c r="G83" s="788"/>
      <c r="H83" s="2"/>
      <c r="I83" s="534" t="s">
        <v>371</v>
      </c>
      <c r="J83" s="854"/>
      <c r="K83" s="854"/>
      <c r="L83" s="854"/>
      <c r="M83" s="855"/>
    </row>
    <row r="84" spans="2:13" s="137" customFormat="1" ht="24.6" customHeight="1">
      <c r="B84" s="864" t="s">
        <v>53</v>
      </c>
      <c r="C84" s="731" t="s">
        <v>409</v>
      </c>
      <c r="D84" s="732"/>
      <c r="E84" s="733"/>
      <c r="F84" s="734">
        <v>105000</v>
      </c>
      <c r="G84" s="460"/>
      <c r="I84" s="534" t="s">
        <v>372</v>
      </c>
      <c r="J84" s="854" t="s">
        <v>384</v>
      </c>
      <c r="K84" s="854"/>
      <c r="L84" s="854"/>
      <c r="M84" s="855"/>
    </row>
    <row r="85" spans="2:13" s="137" customFormat="1" ht="29.1" customHeight="1">
      <c r="B85" s="866"/>
      <c r="C85" s="506" t="s">
        <v>50</v>
      </c>
      <c r="D85" s="516"/>
      <c r="E85" s="517"/>
      <c r="F85" s="473"/>
      <c r="G85" s="518">
        <v>25</v>
      </c>
      <c r="I85" s="534" t="s">
        <v>373</v>
      </c>
      <c r="J85" s="854"/>
      <c r="K85" s="854"/>
      <c r="L85" s="854"/>
      <c r="M85" s="855"/>
    </row>
    <row r="86" spans="2:13" s="137" customFormat="1" ht="28.5" customHeight="1">
      <c r="B86" s="866"/>
      <c r="C86" s="506" t="s">
        <v>408</v>
      </c>
      <c r="D86" s="516"/>
      <c r="E86" s="517"/>
      <c r="F86" s="473"/>
      <c r="G86" s="518">
        <v>60</v>
      </c>
      <c r="I86" s="534" t="s">
        <v>374</v>
      </c>
      <c r="J86" s="854"/>
      <c r="K86" s="854"/>
      <c r="L86" s="854"/>
      <c r="M86" s="855"/>
    </row>
    <row r="87" spans="2:13" s="137" customFormat="1" ht="28.5" customHeight="1">
      <c r="B87" s="866"/>
      <c r="C87" s="506" t="s">
        <v>410</v>
      </c>
      <c r="D87" s="516"/>
      <c r="E87" s="517"/>
      <c r="F87" s="473"/>
      <c r="G87" s="519">
        <v>0.05</v>
      </c>
      <c r="I87" s="539" t="s">
        <v>378</v>
      </c>
      <c r="J87" s="870" t="s">
        <v>385</v>
      </c>
      <c r="K87" s="871"/>
      <c r="L87" s="871"/>
      <c r="M87" s="872"/>
    </row>
    <row r="88" spans="2:13" s="137" customFormat="1" ht="33" customHeight="1" thickBot="1">
      <c r="B88" s="866"/>
      <c r="C88" s="736" t="s">
        <v>411</v>
      </c>
      <c r="D88" s="737"/>
      <c r="E88" s="738"/>
      <c r="F88" s="739"/>
      <c r="G88" s="740">
        <v>2.5000000000000001E-2</v>
      </c>
      <c r="I88" s="539" t="s">
        <v>375</v>
      </c>
      <c r="J88" s="873"/>
      <c r="K88" s="874"/>
      <c r="L88" s="874"/>
      <c r="M88" s="875"/>
    </row>
    <row r="89" spans="2:13" ht="28.5" customHeight="1" thickBot="1">
      <c r="B89" s="741" t="s">
        <v>55</v>
      </c>
      <c r="C89" s="742" t="s">
        <v>54</v>
      </c>
      <c r="D89" s="743">
        <v>0.05</v>
      </c>
      <c r="E89" s="744"/>
      <c r="F89" s="745"/>
      <c r="G89" s="746"/>
      <c r="I89" s="539" t="s">
        <v>376</v>
      </c>
      <c r="J89" s="873"/>
      <c r="K89" s="874"/>
      <c r="L89" s="874"/>
      <c r="M89" s="875"/>
    </row>
    <row r="90" spans="2:13" ht="47.25" customHeight="1">
      <c r="B90" s="859" t="s">
        <v>114</v>
      </c>
      <c r="C90" s="724" t="s">
        <v>112</v>
      </c>
      <c r="D90" s="725">
        <v>8.9999999999999993E-3</v>
      </c>
      <c r="E90" s="726"/>
      <c r="F90" s="727"/>
      <c r="G90" s="722"/>
      <c r="I90" s="539" t="s">
        <v>377</v>
      </c>
      <c r="J90" s="876"/>
      <c r="K90" s="877"/>
      <c r="L90" s="877"/>
      <c r="M90" s="878"/>
    </row>
    <row r="91" spans="2:13" ht="15.75" customHeight="1">
      <c r="B91" s="860"/>
      <c r="C91" s="467" t="s">
        <v>113</v>
      </c>
      <c r="D91" s="520">
        <v>0.05</v>
      </c>
      <c r="E91" s="521"/>
      <c r="F91" s="470"/>
      <c r="G91" s="426"/>
      <c r="I91" s="530" t="s">
        <v>335</v>
      </c>
      <c r="J91" s="870" t="s">
        <v>386</v>
      </c>
      <c r="K91" s="871"/>
      <c r="L91" s="871"/>
      <c r="M91" s="872"/>
    </row>
    <row r="92" spans="2:13" ht="15.75" customHeight="1">
      <c r="B92" s="860"/>
      <c r="C92" s="467" t="s">
        <v>110</v>
      </c>
      <c r="D92" s="520">
        <v>0.03</v>
      </c>
      <c r="E92" s="521"/>
      <c r="F92" s="470"/>
      <c r="G92" s="426"/>
      <c r="I92" s="540" t="s">
        <v>336</v>
      </c>
      <c r="J92" s="873"/>
      <c r="K92" s="874"/>
      <c r="L92" s="874"/>
      <c r="M92" s="875"/>
    </row>
    <row r="93" spans="2:13" ht="16.5" customHeight="1" thickBot="1">
      <c r="B93" s="861"/>
      <c r="C93" s="728" t="s">
        <v>111</v>
      </c>
      <c r="D93" s="729">
        <v>0.03</v>
      </c>
      <c r="E93" s="730"/>
      <c r="F93" s="526"/>
      <c r="G93" s="527"/>
      <c r="I93" s="529" t="s">
        <v>337</v>
      </c>
      <c r="J93" s="873"/>
      <c r="K93" s="874"/>
      <c r="L93" s="874"/>
      <c r="M93" s="875"/>
    </row>
    <row r="94" spans="2:13" ht="63" customHeight="1">
      <c r="B94" s="856"/>
      <c r="C94" s="718" t="s">
        <v>184</v>
      </c>
      <c r="D94" s="719">
        <v>0.19</v>
      </c>
      <c r="E94" s="720"/>
      <c r="F94" s="721"/>
      <c r="G94" s="722"/>
      <c r="I94" s="529" t="s">
        <v>338</v>
      </c>
      <c r="J94" s="873"/>
      <c r="K94" s="874"/>
      <c r="L94" s="874"/>
      <c r="M94" s="875"/>
    </row>
    <row r="95" spans="2:13" ht="36" customHeight="1" thickBot="1">
      <c r="B95" s="857"/>
      <c r="C95" s="471" t="s">
        <v>185</v>
      </c>
      <c r="D95" s="468">
        <v>0.13</v>
      </c>
      <c r="E95" s="522"/>
      <c r="F95" s="470"/>
      <c r="G95" s="426"/>
      <c r="I95" s="541" t="s">
        <v>339</v>
      </c>
      <c r="J95" s="879"/>
      <c r="K95" s="880"/>
      <c r="L95" s="880"/>
      <c r="M95" s="881"/>
    </row>
    <row r="96" spans="2:13" ht="23.1" customHeight="1">
      <c r="B96" s="857"/>
      <c r="C96" s="471" t="s">
        <v>186</v>
      </c>
      <c r="D96" s="468">
        <v>0</v>
      </c>
      <c r="E96" s="522"/>
      <c r="F96" s="470"/>
      <c r="G96" s="426"/>
    </row>
    <row r="97" spans="2:7" ht="26.45" customHeight="1">
      <c r="B97" s="857"/>
      <c r="C97" s="471" t="s">
        <v>187</v>
      </c>
      <c r="D97" s="468">
        <v>0</v>
      </c>
      <c r="E97" s="522"/>
      <c r="F97" s="470"/>
      <c r="G97" s="426"/>
    </row>
    <row r="98" spans="2:7" ht="24.95" customHeight="1" thickBot="1">
      <c r="B98" s="858"/>
      <c r="C98" s="523" t="s">
        <v>188</v>
      </c>
      <c r="D98" s="524">
        <v>0.19</v>
      </c>
      <c r="E98" s="525"/>
      <c r="F98" s="526"/>
      <c r="G98" s="527"/>
    </row>
    <row r="99" spans="2:7" ht="24.95" customHeight="1"/>
  </sheetData>
  <mergeCells count="27">
    <mergeCell ref="J87:M90"/>
    <mergeCell ref="J91:M95"/>
    <mergeCell ref="J7:M11"/>
    <mergeCell ref="J62:M62"/>
    <mergeCell ref="J12:M28"/>
    <mergeCell ref="J29:M53"/>
    <mergeCell ref="J54:M55"/>
    <mergeCell ref="J56:M57"/>
    <mergeCell ref="J58:M59"/>
    <mergeCell ref="J60:M61"/>
    <mergeCell ref="B94:B98"/>
    <mergeCell ref="B90:B93"/>
    <mergeCell ref="B54:B55"/>
    <mergeCell ref="B56:B57"/>
    <mergeCell ref="B13:B28"/>
    <mergeCell ref="B29:B53"/>
    <mergeCell ref="B60:B61"/>
    <mergeCell ref="B72:B83"/>
    <mergeCell ref="B68:B71"/>
    <mergeCell ref="B58:B59"/>
    <mergeCell ref="B63:B67"/>
    <mergeCell ref="B84:B88"/>
    <mergeCell ref="B2:M5"/>
    <mergeCell ref="B8:B11"/>
    <mergeCell ref="J84:M86"/>
    <mergeCell ref="J63:M67"/>
    <mergeCell ref="J72:M83"/>
  </mergeCells>
  <printOptions horizontalCentered="1" verticalCentered="1"/>
  <pageMargins left="0.39370078740157483" right="0.39370078740157483" top="0.74803149606299213" bottom="0.74803149606299213" header="0" footer="0"/>
  <pageSetup paperSize="9" scale="29" orientation="portrait" r:id="rId1"/>
</worksheet>
</file>

<file path=xl/worksheets/sheet4.xml><?xml version="1.0" encoding="utf-8"?>
<worksheet xmlns="http://schemas.openxmlformats.org/spreadsheetml/2006/main" xmlns:r="http://schemas.openxmlformats.org/officeDocument/2006/relationships">
  <sheetPr>
    <tabColor theme="5"/>
    <pageSetUpPr fitToPage="1"/>
  </sheetPr>
  <dimension ref="B2:M45"/>
  <sheetViews>
    <sheetView topLeftCell="A7" workbookViewId="0">
      <selection activeCell="M12" sqref="M12"/>
    </sheetView>
  </sheetViews>
  <sheetFormatPr baseColWidth="10" defaultRowHeight="15"/>
  <cols>
    <col min="2" max="2" width="8.85546875" customWidth="1"/>
    <col min="3" max="3" width="9" customWidth="1"/>
    <col min="4" max="4" width="9.140625" customWidth="1"/>
    <col min="6" max="6" width="19.28515625" customWidth="1"/>
    <col min="7" max="7" width="18.7109375" customWidth="1"/>
    <col min="9" max="9" width="13.85546875" style="275" customWidth="1"/>
    <col min="10" max="10" width="14.42578125" style="275" customWidth="1"/>
    <col min="11" max="11" width="14" style="275" customWidth="1"/>
    <col min="12" max="12" width="14.28515625" style="275" customWidth="1"/>
    <col min="13" max="13" width="14.85546875" bestFit="1" customWidth="1"/>
  </cols>
  <sheetData>
    <row r="2" spans="3:13" ht="15.75" thickBot="1">
      <c r="L2" s="295"/>
    </row>
    <row r="3" spans="3:13" ht="57.6" customHeight="1" thickBot="1">
      <c r="C3" s="913" t="s">
        <v>465</v>
      </c>
      <c r="D3" s="914"/>
      <c r="E3" s="914"/>
      <c r="F3" s="914"/>
      <c r="G3" s="914"/>
      <c r="H3" s="914"/>
      <c r="I3" s="914"/>
      <c r="J3" s="914"/>
      <c r="K3" s="914"/>
      <c r="L3" s="915"/>
    </row>
    <row r="4" spans="3:13" ht="20.100000000000001" customHeight="1" thickBot="1"/>
    <row r="5" spans="3:13" s="137" customFormat="1" ht="27.6" customHeight="1" thickBot="1">
      <c r="C5" s="930" t="s">
        <v>37</v>
      </c>
      <c r="D5" s="931"/>
      <c r="E5" s="931"/>
      <c r="F5" s="931"/>
      <c r="G5" s="932"/>
      <c r="I5" s="930" t="s">
        <v>36</v>
      </c>
      <c r="J5" s="931"/>
      <c r="K5" s="931"/>
      <c r="L5" s="932"/>
    </row>
    <row r="6" spans="3:13" ht="15.75" thickBot="1">
      <c r="C6" s="2"/>
      <c r="D6" s="2"/>
      <c r="E6" s="2"/>
      <c r="F6" s="2"/>
      <c r="G6" s="276"/>
      <c r="I6" s="276"/>
      <c r="J6" s="276"/>
      <c r="K6" s="276"/>
      <c r="L6" s="276"/>
    </row>
    <row r="7" spans="3:13" ht="18.95" customHeight="1">
      <c r="C7" s="905" t="s">
        <v>288</v>
      </c>
      <c r="D7" s="906"/>
      <c r="E7" s="906"/>
      <c r="F7" s="907"/>
      <c r="G7" s="911" t="s">
        <v>43</v>
      </c>
      <c r="I7" s="894" t="s">
        <v>1</v>
      </c>
      <c r="J7" s="896" t="s">
        <v>285</v>
      </c>
      <c r="K7" s="896" t="s">
        <v>286</v>
      </c>
      <c r="L7" s="928" t="s">
        <v>287</v>
      </c>
      <c r="M7" s="423"/>
    </row>
    <row r="8" spans="3:13" ht="26.1" customHeight="1">
      <c r="C8" s="908"/>
      <c r="D8" s="909"/>
      <c r="E8" s="909"/>
      <c r="F8" s="910"/>
      <c r="G8" s="912"/>
      <c r="I8" s="895"/>
      <c r="J8" s="897"/>
      <c r="K8" s="897"/>
      <c r="L8" s="929"/>
      <c r="M8" s="423"/>
    </row>
    <row r="9" spans="3:13" ht="18.95" customHeight="1">
      <c r="C9" s="435" t="s">
        <v>38</v>
      </c>
      <c r="D9" s="436"/>
      <c r="E9" s="436"/>
      <c r="F9" s="436"/>
      <c r="G9" s="426">
        <f>+'3-DONNEE DE BASE'!E11</f>
        <v>104000</v>
      </c>
      <c r="I9" s="895"/>
      <c r="J9" s="897"/>
      <c r="K9" s="897"/>
      <c r="L9" s="929"/>
      <c r="M9" s="423"/>
    </row>
    <row r="10" spans="3:13" ht="18.95" customHeight="1">
      <c r="C10" s="435" t="s">
        <v>289</v>
      </c>
      <c r="D10" s="436"/>
      <c r="E10" s="436"/>
      <c r="F10" s="436"/>
      <c r="G10" s="426"/>
      <c r="I10" s="424">
        <v>2020</v>
      </c>
      <c r="J10" s="425">
        <f>+'12-TRE et VAN Disposition à pay'!E13</f>
        <v>361429.24877093034</v>
      </c>
      <c r="K10" s="425">
        <f>+'12-TRE et VAN Disposition à pay'!F13</f>
        <v>0</v>
      </c>
      <c r="L10" s="426">
        <f>+K10-J10</f>
        <v>-361429.24877093034</v>
      </c>
      <c r="M10" s="423"/>
    </row>
    <row r="11" spans="3:13" ht="18.95" customHeight="1">
      <c r="C11" s="435"/>
      <c r="D11" s="436" t="s">
        <v>39</v>
      </c>
      <c r="E11" s="436"/>
      <c r="F11" s="436"/>
      <c r="G11" s="426">
        <f>+'6-Cout économique du projet'!H57</f>
        <v>367800.43156188913</v>
      </c>
      <c r="I11" s="424">
        <f>+I10+1</f>
        <v>2021</v>
      </c>
      <c r="J11" s="425">
        <f>+'12-TRE et VAN Disposition à pay'!E14</f>
        <v>788834.05637796409</v>
      </c>
      <c r="K11" s="425">
        <f>+'12-TRE et VAN Disposition à pay'!F14</f>
        <v>0</v>
      </c>
      <c r="L11" s="426">
        <f t="shared" ref="L11:L32" si="0">+K11-J11</f>
        <v>-788834.05637796409</v>
      </c>
      <c r="M11" s="423"/>
    </row>
    <row r="12" spans="3:13" ht="18.95" customHeight="1">
      <c r="C12" s="435"/>
      <c r="D12" s="436" t="s">
        <v>40</v>
      </c>
      <c r="E12" s="436"/>
      <c r="F12" s="436"/>
      <c r="G12" s="426">
        <f>+'6-Cout économique du projet'!H59+'6-Cout économique du projet'!H60+'6-Cout économique du projet'!H61</f>
        <v>592342.63028348773</v>
      </c>
      <c r="I12" s="424">
        <f t="shared" ref="I12:I32" si="1">+I11+1</f>
        <v>2022</v>
      </c>
      <c r="J12" s="425">
        <f>+'12-TRE et VAN Disposition à pay'!E15</f>
        <v>244013.12416732311</v>
      </c>
      <c r="K12" s="425">
        <f>+'12-TRE et VAN Disposition à pay'!F15</f>
        <v>0</v>
      </c>
      <c r="L12" s="426">
        <f t="shared" si="0"/>
        <v>-244013.12416732311</v>
      </c>
      <c r="M12" s="423"/>
    </row>
    <row r="13" spans="3:13" s="137" customFormat="1" ht="18.95" customHeight="1">
      <c r="C13" s="437"/>
      <c r="D13" s="438" t="s">
        <v>41</v>
      </c>
      <c r="E13" s="438"/>
      <c r="F13" s="438"/>
      <c r="G13" s="429">
        <f>+'6-Cout économique du projet'!H58</f>
        <v>74176.6299351333</v>
      </c>
      <c r="I13" s="427">
        <f t="shared" si="1"/>
        <v>2023</v>
      </c>
      <c r="J13" s="428">
        <f>+'12-TRE et VAN Disposition à pay'!E16</f>
        <v>96205.073622819007</v>
      </c>
      <c r="K13" s="428">
        <f>+'12-TRE et VAN Disposition à pay'!F16</f>
        <v>236250</v>
      </c>
      <c r="L13" s="429">
        <f t="shared" si="0"/>
        <v>140044.92637718099</v>
      </c>
      <c r="M13" s="430"/>
    </row>
    <row r="14" spans="3:13" s="137" customFormat="1" ht="18.95" customHeight="1">
      <c r="C14" s="437"/>
      <c r="D14" s="438" t="s">
        <v>42</v>
      </c>
      <c r="E14" s="438"/>
      <c r="F14" s="438"/>
      <c r="G14" s="429">
        <f>+'6-Cout économique du projet'!H62</f>
        <v>227519.07749999998</v>
      </c>
      <c r="I14" s="427">
        <f t="shared" si="1"/>
        <v>2024</v>
      </c>
      <c r="J14" s="428">
        <f>+'12-TRE et VAN Disposition à pay'!E17</f>
        <v>96832.49801601129</v>
      </c>
      <c r="K14" s="428">
        <f>+'12-TRE et VAN Disposition à pay'!F17</f>
        <v>257326.87500000003</v>
      </c>
      <c r="L14" s="429">
        <f t="shared" si="0"/>
        <v>160494.37698398874</v>
      </c>
      <c r="M14" s="430"/>
    </row>
    <row r="15" spans="3:13" s="137" customFormat="1" ht="18.95" customHeight="1">
      <c r="C15" s="437"/>
      <c r="D15" s="438" t="s">
        <v>145</v>
      </c>
      <c r="E15" s="438"/>
      <c r="F15" s="438"/>
      <c r="G15" s="429">
        <f>+'6-Cout économique du projet'!H63</f>
        <v>132437.66003570741</v>
      </c>
      <c r="I15" s="427">
        <f t="shared" si="1"/>
        <v>2025</v>
      </c>
      <c r="J15" s="428">
        <f>+'12-TRE et VAN Disposition à pay'!E18</f>
        <v>97491.293628863205</v>
      </c>
      <c r="K15" s="428">
        <f>+'12-TRE et VAN Disposition à pay'!F18</f>
        <v>280096.00031250005</v>
      </c>
      <c r="L15" s="429">
        <f t="shared" si="0"/>
        <v>182604.70668363685</v>
      </c>
      <c r="M15" s="430"/>
    </row>
    <row r="16" spans="3:13" s="137" customFormat="1" ht="18.95" customHeight="1">
      <c r="C16" s="437"/>
      <c r="D16" s="898" t="s">
        <v>291</v>
      </c>
      <c r="E16" s="899"/>
      <c r="F16" s="438"/>
      <c r="G16" s="429">
        <f>+SUM(G11:G15)</f>
        <v>1394276.4293162175</v>
      </c>
      <c r="I16" s="427">
        <f t="shared" si="1"/>
        <v>2026</v>
      </c>
      <c r="J16" s="428">
        <f>+'12-TRE et VAN Disposition à pay'!E19</f>
        <v>98183.029022357718</v>
      </c>
      <c r="K16" s="428">
        <f>+'12-TRE et VAN Disposition à pay'!F19</f>
        <v>304686.43425421882</v>
      </c>
      <c r="L16" s="429">
        <f t="shared" si="0"/>
        <v>206503.40523186111</v>
      </c>
      <c r="M16" s="430"/>
    </row>
    <row r="17" spans="2:13" s="137" customFormat="1" ht="18.95" customHeight="1">
      <c r="C17" s="900" t="s">
        <v>290</v>
      </c>
      <c r="D17" s="901"/>
      <c r="E17" s="901"/>
      <c r="F17" s="902"/>
      <c r="G17" s="429">
        <f>+'6-Cout économique du projet'!J102+'6-Cout économique du projet'!K102+'6-Cout économique du projet'!L102</f>
        <v>379610.28768715949</v>
      </c>
      <c r="I17" s="427">
        <f t="shared" si="1"/>
        <v>2027</v>
      </c>
      <c r="J17" s="428">
        <f>+'12-TRE et VAN Disposition à pay'!E20</f>
        <v>174669.42473552696</v>
      </c>
      <c r="K17" s="428">
        <f>+'12-TRE et VAN Disposition à pay'!F20</f>
        <v>331236.80362113839</v>
      </c>
      <c r="L17" s="429">
        <f t="shared" si="0"/>
        <v>156567.37888561143</v>
      </c>
      <c r="M17" s="430"/>
    </row>
    <row r="18" spans="2:13" s="137" customFormat="1" ht="18.95" customHeight="1">
      <c r="C18" s="903" t="s">
        <v>284</v>
      </c>
      <c r="D18" s="904"/>
      <c r="E18" s="904"/>
      <c r="F18" s="904"/>
      <c r="G18" s="429">
        <f>+'7-Charges d''exp - économique'!F12</f>
        <v>96205.073622819007</v>
      </c>
      <c r="I18" s="427">
        <f t="shared" si="1"/>
        <v>2028</v>
      </c>
      <c r="J18" s="428">
        <f>+'12-TRE et VAN Disposition à pay'!E21</f>
        <v>99671.989456854644</v>
      </c>
      <c r="K18" s="428">
        <f>+'12-TRE et VAN Disposition à pay'!F21</f>
        <v>359896.00149344571</v>
      </c>
      <c r="L18" s="429">
        <f t="shared" si="0"/>
        <v>260224.01203659107</v>
      </c>
      <c r="M18" s="430"/>
    </row>
    <row r="19" spans="2:13" s="137" customFormat="1" ht="18.95" customHeight="1">
      <c r="C19" s="916" t="s">
        <v>464</v>
      </c>
      <c r="D19" s="917"/>
      <c r="E19" s="917"/>
      <c r="F19" s="918"/>
      <c r="G19" s="922">
        <f>+'11-Bénéfice  disposition à paye'!H33</f>
        <v>236250</v>
      </c>
      <c r="I19" s="427">
        <f t="shared" si="1"/>
        <v>2029</v>
      </c>
      <c r="J19" s="428">
        <f>+'12-TRE et VAN Disposition à pay'!E22</f>
        <v>100472.75964174874</v>
      </c>
      <c r="K19" s="428">
        <f>+'12-TRE et VAN Disposition à pay'!F22</f>
        <v>390823.93542377884</v>
      </c>
      <c r="L19" s="429">
        <f t="shared" si="0"/>
        <v>290351.1757820301</v>
      </c>
      <c r="M19" s="430"/>
    </row>
    <row r="20" spans="2:13" s="137" customFormat="1" ht="18.95" customHeight="1">
      <c r="C20" s="919"/>
      <c r="D20" s="920"/>
      <c r="E20" s="920"/>
      <c r="F20" s="921"/>
      <c r="G20" s="923"/>
      <c r="I20" s="427">
        <f>+I19+1</f>
        <v>2030</v>
      </c>
      <c r="J20" s="428">
        <f>+'12-TRE et VAN Disposition à pay'!E23</f>
        <v>101313.56833588751</v>
      </c>
      <c r="K20" s="428">
        <f>+'12-TRE et VAN Disposition à pay'!F23</f>
        <v>424192.32962417114</v>
      </c>
      <c r="L20" s="429">
        <f t="shared" si="0"/>
        <v>322878.76128828363</v>
      </c>
      <c r="M20" s="430"/>
    </row>
    <row r="21" spans="2:13" s="137" customFormat="1" ht="18.95" customHeight="1">
      <c r="C21" s="916" t="s">
        <v>463</v>
      </c>
      <c r="D21" s="917"/>
      <c r="E21" s="917"/>
      <c r="F21" s="918"/>
      <c r="G21" s="926">
        <f>+'12-TRE et VAN Disposition à pay'!G16</f>
        <v>140044.92637718099</v>
      </c>
      <c r="I21" s="427">
        <f>+I20+1</f>
        <v>2031</v>
      </c>
      <c r="J21" s="428">
        <f>+'12-TRE et VAN Disposition à pay'!E24</f>
        <v>102196.41746473324</v>
      </c>
      <c r="K21" s="428">
        <f>+'12-TRE et VAN Disposition à pay'!F24</f>
        <v>460185.58502552263</v>
      </c>
      <c r="L21" s="429">
        <f t="shared" si="0"/>
        <v>357989.16756078938</v>
      </c>
      <c r="M21" s="430"/>
    </row>
    <row r="22" spans="2:13" s="137" customFormat="1" ht="18.95" customHeight="1">
      <c r="C22" s="919"/>
      <c r="D22" s="920"/>
      <c r="E22" s="920"/>
      <c r="F22" s="921"/>
      <c r="G22" s="927"/>
      <c r="I22" s="427">
        <f>+I21+1</f>
        <v>2032</v>
      </c>
      <c r="J22" s="428">
        <f>+'12-TRE et VAN Disposition à pay'!E25</f>
        <v>283568.44645732199</v>
      </c>
      <c r="K22" s="428">
        <f>+'12-TRE et VAN Disposition à pay'!F25</f>
        <v>499001.70136028063</v>
      </c>
      <c r="L22" s="429">
        <f t="shared" si="0"/>
        <v>215433.25490295864</v>
      </c>
      <c r="M22" s="430"/>
    </row>
    <row r="23" spans="2:13" s="137" customFormat="1" ht="18.95" customHeight="1">
      <c r="C23" s="916" t="s">
        <v>482</v>
      </c>
      <c r="D23" s="917"/>
      <c r="E23" s="917"/>
      <c r="F23" s="918"/>
      <c r="G23" s="924">
        <f>+'12-TRE et VAN Disposition à pay'!G37</f>
        <v>0.16062615980445147</v>
      </c>
      <c r="I23" s="427">
        <f t="shared" si="1"/>
        <v>2033</v>
      </c>
      <c r="J23" s="428">
        <f>+'12-TRE et VAN Disposition à pay'!E26</f>
        <v>104096.75021457367</v>
      </c>
      <c r="K23" s="428">
        <f>+'12-TRE et VAN Disposition à pay'!F26</f>
        <v>540853.26571561326</v>
      </c>
      <c r="L23" s="429">
        <f t="shared" si="0"/>
        <v>436756.51550103957</v>
      </c>
      <c r="M23" s="430"/>
    </row>
    <row r="24" spans="2:13" s="137" customFormat="1" ht="18.95" customHeight="1">
      <c r="C24" s="919"/>
      <c r="D24" s="920"/>
      <c r="E24" s="920"/>
      <c r="F24" s="921"/>
      <c r="G24" s="925"/>
      <c r="I24" s="427">
        <f t="shared" si="1"/>
        <v>2034</v>
      </c>
      <c r="J24" s="428">
        <f>+'12-TRE et VAN Disposition à pay'!E27</f>
        <v>105118.7584373537</v>
      </c>
      <c r="K24" s="428">
        <f>+'12-TRE et VAN Disposition à pay'!F27</f>
        <v>585968.51232209755</v>
      </c>
      <c r="L24" s="429">
        <f t="shared" si="0"/>
        <v>480849.75388474384</v>
      </c>
      <c r="M24" s="430"/>
    </row>
    <row r="25" spans="2:13" s="137" customFormat="1" ht="18.95" customHeight="1" thickBot="1">
      <c r="C25" s="891" t="s">
        <v>295</v>
      </c>
      <c r="D25" s="892"/>
      <c r="E25" s="892"/>
      <c r="F25" s="893"/>
      <c r="G25" s="439">
        <f>+'12-TRE et VAN Disposition à pay'!H37</f>
        <v>2853508.3092467603</v>
      </c>
      <c r="I25" s="427">
        <f t="shared" si="1"/>
        <v>2035</v>
      </c>
      <c r="J25" s="428">
        <f>+'12-TRE et VAN Disposition à pay'!E28</f>
        <v>106191.86707127272</v>
      </c>
      <c r="K25" s="428">
        <f>+'12-TRE et VAN Disposition à pay'!F28</f>
        <v>634592.45868334291</v>
      </c>
      <c r="L25" s="429">
        <f t="shared" si="0"/>
        <v>528400.59161207022</v>
      </c>
      <c r="M25" s="430"/>
    </row>
    <row r="26" spans="2:13" s="137" customFormat="1" ht="18.95" customHeight="1">
      <c r="I26" s="427">
        <f t="shared" si="1"/>
        <v>2036</v>
      </c>
      <c r="J26" s="428">
        <f>+'12-TRE et VAN Disposition à pay'!E29</f>
        <v>107318.63113688771</v>
      </c>
      <c r="K26" s="428">
        <f>+'12-TRE et VAN Disposition à pay'!F29</f>
        <v>686988.12351661699</v>
      </c>
      <c r="L26" s="429">
        <f t="shared" si="0"/>
        <v>579669.49237972929</v>
      </c>
      <c r="M26" s="430"/>
    </row>
    <row r="27" spans="2:13" s="137" customFormat="1" ht="18.95" customHeight="1">
      <c r="B27" s="133"/>
      <c r="C27" s="133"/>
      <c r="D27" s="133"/>
      <c r="E27" s="133"/>
      <c r="F27" s="133"/>
      <c r="G27" s="133"/>
      <c r="H27" s="133"/>
      <c r="I27" s="427">
        <f t="shared" si="1"/>
        <v>2037</v>
      </c>
      <c r="J27" s="428">
        <f>+'12-TRE et VAN Disposition à pay'!E30</f>
        <v>231906.91013564225</v>
      </c>
      <c r="K27" s="428">
        <f>+'12-TRE et VAN Disposition à pay'!F30</f>
        <v>743437.83236519084</v>
      </c>
      <c r="L27" s="429">
        <f t="shared" si="0"/>
        <v>511530.92222954857</v>
      </c>
      <c r="M27" s="430"/>
    </row>
    <row r="28" spans="2:13" s="137" customFormat="1" ht="18.95" customHeight="1">
      <c r="B28" s="133"/>
      <c r="C28" s="133"/>
      <c r="D28" s="133"/>
      <c r="E28" s="133"/>
      <c r="F28" s="133"/>
      <c r="G28" s="133"/>
      <c r="H28" s="133"/>
      <c r="I28" s="427">
        <f t="shared" si="1"/>
        <v>2038</v>
      </c>
      <c r="J28" s="428">
        <f>+'12-TRE et VAN Disposition à pay'!E31</f>
        <v>109743.99078812398</v>
      </c>
      <c r="K28" s="428">
        <f>+'12-TRE et VAN Disposition à pay'!F31</f>
        <v>804244.61716160318</v>
      </c>
      <c r="L28" s="429">
        <f t="shared" si="0"/>
        <v>694500.62637347914</v>
      </c>
      <c r="M28" s="430"/>
    </row>
    <row r="29" spans="2:13" s="137" customFormat="1" ht="18.95" customHeight="1">
      <c r="B29" s="133"/>
      <c r="C29" s="133"/>
      <c r="D29" s="133"/>
      <c r="E29" s="133"/>
      <c r="F29" s="133"/>
      <c r="G29" s="133"/>
      <c r="H29" s="133"/>
      <c r="I29" s="427">
        <f t="shared" si="1"/>
        <v>2039</v>
      </c>
      <c r="J29" s="428">
        <f>+'12-TRE et VAN Disposition à pay'!E32</f>
        <v>111048.3610395815</v>
      </c>
      <c r="K29" s="428">
        <f>+'12-TRE et VAN Disposition à pay'!F32</f>
        <v>869733.71646934189</v>
      </c>
      <c r="L29" s="429">
        <f t="shared" si="0"/>
        <v>758685.35542976041</v>
      </c>
      <c r="M29" s="430"/>
    </row>
    <row r="30" spans="2:13" s="137" customFormat="1" ht="18.95" customHeight="1">
      <c r="B30" s="133"/>
      <c r="C30" s="133"/>
      <c r="D30" s="133"/>
      <c r="E30" s="133"/>
      <c r="F30" s="133"/>
      <c r="G30" s="133"/>
      <c r="H30" s="133"/>
      <c r="I30" s="427">
        <f t="shared" si="1"/>
        <v>2040</v>
      </c>
      <c r="J30" s="428">
        <f>+'12-TRE et VAN Disposition à pay'!E33</f>
        <v>112417.94980361193</v>
      </c>
      <c r="K30" s="428">
        <f>+'12-TRE et VAN Disposition à pay'!F33</f>
        <v>940254.18361069122</v>
      </c>
      <c r="L30" s="429">
        <f t="shared" si="0"/>
        <v>827836.23380707926</v>
      </c>
      <c r="M30" s="430"/>
    </row>
    <row r="31" spans="2:13" s="137" customFormat="1" ht="18.95" customHeight="1">
      <c r="B31" s="133"/>
      <c r="C31" s="133"/>
      <c r="D31" s="133"/>
      <c r="E31" s="133"/>
      <c r="F31" s="133"/>
      <c r="G31" s="133"/>
      <c r="H31" s="133"/>
      <c r="I31" s="427">
        <f t="shared" si="1"/>
        <v>2041</v>
      </c>
      <c r="J31" s="428">
        <f>+'12-TRE et VAN Disposition à pay'!E34</f>
        <v>113856.01800584389</v>
      </c>
      <c r="K31" s="428">
        <f>+'12-TRE et VAN Disposition à pay'!F34</f>
        <v>1016180.6104029538</v>
      </c>
      <c r="L31" s="429">
        <f t="shared" si="0"/>
        <v>902324.59239710995</v>
      </c>
      <c r="M31" s="430"/>
    </row>
    <row r="32" spans="2:13" s="137" customFormat="1" ht="18.95" customHeight="1" thickBot="1">
      <c r="B32" s="133"/>
      <c r="C32" s="133"/>
      <c r="D32" s="133"/>
      <c r="E32" s="133"/>
      <c r="F32" s="133"/>
      <c r="G32" s="133"/>
      <c r="H32" s="133"/>
      <c r="I32" s="431">
        <f t="shared" si="1"/>
        <v>2042</v>
      </c>
      <c r="J32" s="432">
        <f>+'12-TRE et VAN Disposition à pay'!E35</f>
        <v>115365.98961818742</v>
      </c>
      <c r="K32" s="432">
        <f>+'12-TRE et VAN Disposition à pay'!F35</f>
        <v>1097914.9747763607</v>
      </c>
      <c r="L32" s="433">
        <f t="shared" si="0"/>
        <v>982548.98515817325</v>
      </c>
      <c r="M32" s="430"/>
    </row>
    <row r="33" spans="2:13" s="137" customFormat="1" ht="18.95" customHeight="1" thickBot="1">
      <c r="B33" s="133"/>
      <c r="C33" s="133"/>
      <c r="D33" s="133"/>
      <c r="E33" s="133"/>
      <c r="F33" s="133"/>
      <c r="G33" s="133"/>
      <c r="H33" s="133"/>
      <c r="I33" s="434"/>
      <c r="J33" s="434"/>
      <c r="K33" s="434"/>
      <c r="L33" s="275"/>
      <c r="M33" s="430"/>
    </row>
    <row r="34" spans="2:13" s="137" customFormat="1" ht="18.95" customHeight="1">
      <c r="B34" s="133"/>
      <c r="C34" s="133"/>
      <c r="D34" s="133"/>
      <c r="E34" s="133"/>
      <c r="F34" s="133"/>
      <c r="G34" s="133"/>
      <c r="H34" s="133"/>
      <c r="I34" s="434"/>
      <c r="J34" s="434"/>
      <c r="K34" s="791" t="s">
        <v>2</v>
      </c>
      <c r="L34" s="792">
        <f>+IRR(L10:L32)</f>
        <v>0.16062615980445147</v>
      </c>
      <c r="M34" s="430"/>
    </row>
    <row r="35" spans="2:13" s="137" customFormat="1" ht="18.95" customHeight="1" thickBot="1">
      <c r="B35" s="133"/>
      <c r="C35" s="133"/>
      <c r="D35" s="133"/>
      <c r="E35" s="133"/>
      <c r="F35" s="133"/>
      <c r="G35" s="133"/>
      <c r="H35" s="133"/>
      <c r="I35" s="434"/>
      <c r="J35" s="434"/>
      <c r="K35" s="793" t="s">
        <v>294</v>
      </c>
      <c r="L35" s="794">
        <f>+NPV(5%,(L10:L32))</f>
        <v>2853508.3092467603</v>
      </c>
      <c r="M35" s="430"/>
    </row>
    <row r="36" spans="2:13" ht="18.95" customHeight="1">
      <c r="B36" s="2"/>
      <c r="C36" s="2"/>
      <c r="D36" s="2"/>
      <c r="E36" s="2"/>
      <c r="F36" s="2"/>
      <c r="G36" s="2"/>
      <c r="H36" s="2"/>
    </row>
    <row r="37" spans="2:13" ht="18.95" customHeight="1">
      <c r="B37" s="2"/>
      <c r="C37" s="2"/>
      <c r="D37" s="2"/>
      <c r="E37" s="2"/>
      <c r="F37" s="2"/>
      <c r="G37" s="2"/>
      <c r="H37" s="2"/>
    </row>
    <row r="38" spans="2:13" ht="18.95" customHeight="1">
      <c r="B38" s="2"/>
      <c r="C38" s="2"/>
      <c r="D38" s="2"/>
      <c r="E38" s="2"/>
      <c r="F38" s="2"/>
      <c r="G38" s="2"/>
      <c r="H38" s="2"/>
      <c r="M38" s="423"/>
    </row>
    <row r="39" spans="2:13">
      <c r="B39" s="2"/>
      <c r="C39" s="2"/>
      <c r="D39" s="2"/>
      <c r="E39" s="2"/>
      <c r="F39" s="2"/>
      <c r="G39" s="2"/>
      <c r="H39" s="2"/>
    </row>
    <row r="40" spans="2:13">
      <c r="B40" s="2"/>
      <c r="C40" s="2"/>
      <c r="D40" s="2"/>
      <c r="E40" s="2"/>
      <c r="F40" s="2"/>
      <c r="G40" s="2"/>
      <c r="H40" s="2"/>
    </row>
    <row r="41" spans="2:13">
      <c r="B41" s="2"/>
      <c r="C41" s="2"/>
      <c r="D41" s="2"/>
      <c r="E41" s="2"/>
      <c r="F41" s="2"/>
      <c r="G41" s="2"/>
      <c r="H41" s="2"/>
    </row>
    <row r="42" spans="2:13">
      <c r="B42" s="2"/>
      <c r="C42" s="2"/>
      <c r="D42" s="2"/>
      <c r="E42" s="2"/>
      <c r="F42" s="2"/>
      <c r="G42" s="2"/>
      <c r="H42" s="2"/>
    </row>
    <row r="43" spans="2:13">
      <c r="B43" s="2"/>
      <c r="C43" s="2"/>
      <c r="D43" s="2"/>
      <c r="E43" s="2"/>
      <c r="F43" s="2"/>
      <c r="G43" s="2"/>
      <c r="H43" s="2"/>
    </row>
    <row r="44" spans="2:13">
      <c r="B44" s="2"/>
      <c r="C44" s="2"/>
      <c r="D44" s="2"/>
      <c r="E44" s="2"/>
      <c r="F44" s="2"/>
      <c r="G44" s="2"/>
      <c r="H44" s="2"/>
    </row>
    <row r="45" spans="2:13">
      <c r="B45" s="2"/>
      <c r="C45" s="2"/>
      <c r="D45" s="2"/>
      <c r="E45" s="2"/>
      <c r="F45" s="2"/>
      <c r="G45" s="2"/>
      <c r="H45" s="2"/>
    </row>
  </sheetData>
  <mergeCells count="19">
    <mergeCell ref="C3:L3"/>
    <mergeCell ref="C19:F20"/>
    <mergeCell ref="G19:G20"/>
    <mergeCell ref="C21:F22"/>
    <mergeCell ref="C23:F24"/>
    <mergeCell ref="G23:G24"/>
    <mergeCell ref="G21:G22"/>
    <mergeCell ref="L7:L9"/>
    <mergeCell ref="I5:L5"/>
    <mergeCell ref="C5:G5"/>
    <mergeCell ref="C25:F25"/>
    <mergeCell ref="I7:I9"/>
    <mergeCell ref="J7:J9"/>
    <mergeCell ref="K7:K9"/>
    <mergeCell ref="D16:E16"/>
    <mergeCell ref="C17:F17"/>
    <mergeCell ref="C18:F18"/>
    <mergeCell ref="C7:F8"/>
    <mergeCell ref="G7:G8"/>
  </mergeCells>
  <printOptions horizontalCentered="1" verticalCentered="1"/>
  <pageMargins left="0.39370078740157483" right="0.39370078740157483" top="0.74803149606299213" bottom="0.74803149606299213" header="0" footer="0"/>
  <pageSetup paperSize="9" scale="66" orientation="portrait" horizontalDpi="4294967294" verticalDpi="4294967294" r:id="rId1"/>
  <drawing r:id="rId2"/>
</worksheet>
</file>

<file path=xl/worksheets/sheet5.xml><?xml version="1.0" encoding="utf-8"?>
<worksheet xmlns="http://schemas.openxmlformats.org/spreadsheetml/2006/main" xmlns:r="http://schemas.openxmlformats.org/officeDocument/2006/relationships">
  <sheetPr>
    <tabColor theme="5"/>
    <pageSetUpPr fitToPage="1"/>
  </sheetPr>
  <dimension ref="A1:P39"/>
  <sheetViews>
    <sheetView topLeftCell="A16" workbookViewId="0">
      <selection activeCell="M30" sqref="M30"/>
    </sheetView>
  </sheetViews>
  <sheetFormatPr baseColWidth="10" defaultRowHeight="15"/>
  <cols>
    <col min="6" max="6" width="15.42578125" customWidth="1"/>
    <col min="7" max="7" width="17.7109375" style="39" customWidth="1"/>
    <col min="8" max="8" width="10.85546875" style="39" customWidth="1"/>
    <col min="9" max="9" width="16.42578125" style="39" customWidth="1"/>
    <col min="10" max="10" width="17.28515625" style="39" customWidth="1"/>
    <col min="11" max="11" width="13.7109375" style="39" customWidth="1"/>
    <col min="12" max="12" width="14.42578125" style="270" customWidth="1"/>
    <col min="13" max="13" width="17.28515625" customWidth="1"/>
  </cols>
  <sheetData>
    <row r="1" spans="1:16">
      <c r="G1" s="39" t="s">
        <v>35</v>
      </c>
    </row>
    <row r="2" spans="1:16" ht="15.75" thickBot="1">
      <c r="B2" s="2"/>
      <c r="C2" s="2"/>
      <c r="D2" s="2"/>
      <c r="K2" s="128"/>
    </row>
    <row r="3" spans="1:16" ht="57" customHeight="1" thickBot="1">
      <c r="B3" s="2"/>
      <c r="C3" s="933" t="s">
        <v>466</v>
      </c>
      <c r="D3" s="934"/>
      <c r="E3" s="934"/>
      <c r="F3" s="934"/>
      <c r="G3" s="934"/>
      <c r="H3" s="934"/>
      <c r="I3" s="934"/>
      <c r="J3" s="934"/>
      <c r="K3" s="934"/>
      <c r="L3" s="935"/>
      <c r="M3" s="45"/>
      <c r="N3" s="45"/>
    </row>
    <row r="4" spans="1:16" ht="15.75" thickBot="1">
      <c r="B4" s="2"/>
      <c r="C4" s="2"/>
      <c r="D4" s="2"/>
      <c r="E4" s="2"/>
      <c r="F4" s="2"/>
      <c r="G4" s="38"/>
      <c r="H4" s="38"/>
      <c r="I4" s="38"/>
      <c r="J4" s="38"/>
      <c r="K4" s="38"/>
      <c r="L4" s="272"/>
    </row>
    <row r="5" spans="1:16" ht="21.75" thickBot="1">
      <c r="A5" s="2"/>
      <c r="B5" s="2"/>
      <c r="C5" s="936" t="s">
        <v>37</v>
      </c>
      <c r="D5" s="937"/>
      <c r="E5" s="937"/>
      <c r="F5" s="937"/>
      <c r="G5" s="938"/>
      <c r="H5" s="26"/>
      <c r="I5" s="936" t="s">
        <v>36</v>
      </c>
      <c r="J5" s="937"/>
      <c r="K5" s="937"/>
      <c r="L5" s="938"/>
    </row>
    <row r="6" spans="1:16" ht="15.75" thickBot="1">
      <c r="A6" s="2"/>
      <c r="B6" s="2"/>
      <c r="C6" s="2"/>
      <c r="D6" s="2"/>
      <c r="E6" s="2"/>
      <c r="F6" s="2"/>
      <c r="G6" s="38"/>
      <c r="H6" s="38"/>
      <c r="I6" s="38"/>
      <c r="J6" s="38"/>
      <c r="K6" s="38"/>
      <c r="L6" s="272"/>
    </row>
    <row r="7" spans="1:16" ht="30.95" customHeight="1">
      <c r="A7" s="2"/>
      <c r="B7" s="2"/>
      <c r="C7" s="905" t="s">
        <v>314</v>
      </c>
      <c r="D7" s="906"/>
      <c r="E7" s="906"/>
      <c r="F7" s="907"/>
      <c r="G7" s="911" t="s">
        <v>43</v>
      </c>
      <c r="H7" s="274"/>
      <c r="I7" s="894" t="s">
        <v>1</v>
      </c>
      <c r="J7" s="896" t="s">
        <v>315</v>
      </c>
      <c r="K7" s="896" t="s">
        <v>316</v>
      </c>
      <c r="L7" s="939" t="s">
        <v>317</v>
      </c>
      <c r="P7" s="43"/>
    </row>
    <row r="8" spans="1:16">
      <c r="A8" s="2"/>
      <c r="B8" s="2"/>
      <c r="C8" s="908"/>
      <c r="D8" s="909"/>
      <c r="E8" s="909"/>
      <c r="F8" s="910"/>
      <c r="G8" s="912"/>
      <c r="H8" s="272"/>
      <c r="I8" s="895"/>
      <c r="J8" s="897"/>
      <c r="K8" s="897"/>
      <c r="L8" s="940"/>
    </row>
    <row r="9" spans="1:16" ht="18.95" customHeight="1">
      <c r="A9" s="2"/>
      <c r="B9" s="2"/>
      <c r="C9" s="435" t="s">
        <v>38</v>
      </c>
      <c r="D9" s="436"/>
      <c r="E9" s="436"/>
      <c r="F9" s="436"/>
      <c r="G9" s="426">
        <f>+'3-DONNEE DE BASE'!E11</f>
        <v>104000</v>
      </c>
      <c r="H9" s="272"/>
      <c r="I9" s="895"/>
      <c r="J9" s="897"/>
      <c r="K9" s="897"/>
      <c r="L9" s="940"/>
    </row>
    <row r="10" spans="1:16" ht="18.95" customHeight="1">
      <c r="A10" s="2"/>
      <c r="B10" s="2"/>
      <c r="C10" s="435" t="s">
        <v>289</v>
      </c>
      <c r="D10" s="436"/>
      <c r="E10" s="436"/>
      <c r="F10" s="436"/>
      <c r="G10" s="426"/>
      <c r="H10" s="271"/>
      <c r="I10" s="789">
        <v>2020</v>
      </c>
      <c r="J10" s="790">
        <f>+'10-TRE et VAN - Cout d''évitemen'!E14</f>
        <v>361429.24877093034</v>
      </c>
      <c r="K10" s="790">
        <v>0</v>
      </c>
      <c r="L10" s="662">
        <f>+K10-J10</f>
        <v>-361429.24877093034</v>
      </c>
    </row>
    <row r="11" spans="1:16" ht="18.95" customHeight="1">
      <c r="A11" s="2"/>
      <c r="B11" s="2"/>
      <c r="C11" s="435"/>
      <c r="D11" s="436" t="s">
        <v>39</v>
      </c>
      <c r="E11" s="436"/>
      <c r="F11" s="436"/>
      <c r="G11" s="426">
        <f>+'6-Cout économique du projet'!H57</f>
        <v>367800.43156188913</v>
      </c>
      <c r="H11" s="286"/>
      <c r="I11" s="789">
        <f>+I10+1</f>
        <v>2021</v>
      </c>
      <c r="J11" s="428">
        <f>+'10-TRE et VAN - Cout d''évitemen'!E15</f>
        <v>788834.05637796409</v>
      </c>
      <c r="K11" s="428">
        <v>0</v>
      </c>
      <c r="L11" s="662">
        <f t="shared" ref="L11:L32" si="0">+K11-J11</f>
        <v>-788834.05637796409</v>
      </c>
    </row>
    <row r="12" spans="1:16" ht="18.95" customHeight="1">
      <c r="A12" s="2"/>
      <c r="B12" s="2"/>
      <c r="C12" s="435"/>
      <c r="D12" s="436" t="s">
        <v>40</v>
      </c>
      <c r="E12" s="436"/>
      <c r="F12" s="436"/>
      <c r="G12" s="426">
        <f>+'6-Cout économique du projet'!H59+'6-Cout économique du projet'!H60+'6-Cout économique du projet'!H61</f>
        <v>592342.63028348773</v>
      </c>
      <c r="H12" s="286"/>
      <c r="I12" s="789">
        <f t="shared" ref="I12:I32" si="1">+I11+1</f>
        <v>2022</v>
      </c>
      <c r="J12" s="428">
        <f>+'10-TRE et VAN - Cout d''évitemen'!E16</f>
        <v>244013.12416732311</v>
      </c>
      <c r="K12" s="428">
        <v>0</v>
      </c>
      <c r="L12" s="662">
        <f t="shared" si="0"/>
        <v>-244013.12416732311</v>
      </c>
      <c r="M12" s="2"/>
      <c r="N12" s="2"/>
      <c r="O12" s="2"/>
    </row>
    <row r="13" spans="1:16" ht="18.95" customHeight="1">
      <c r="A13" s="2"/>
      <c r="B13" s="2"/>
      <c r="C13" s="435"/>
      <c r="D13" s="436" t="s">
        <v>41</v>
      </c>
      <c r="E13" s="436"/>
      <c r="F13" s="436"/>
      <c r="G13" s="426">
        <f>+'6-Cout économique du projet'!H58</f>
        <v>74176.6299351333</v>
      </c>
      <c r="H13" s="286"/>
      <c r="I13" s="789">
        <f t="shared" si="1"/>
        <v>2023</v>
      </c>
      <c r="J13" s="428">
        <f>+'10-TRE et VAN - Cout d''évitemen'!E17</f>
        <v>96205.073622819007</v>
      </c>
      <c r="K13" s="428">
        <f>+'-9-  Bénéfice cout  d''évitemen '!K23</f>
        <v>339571.73656809039</v>
      </c>
      <c r="L13" s="662">
        <f t="shared" si="0"/>
        <v>243366.66294527138</v>
      </c>
      <c r="M13" s="2"/>
      <c r="N13" s="2"/>
      <c r="O13" s="2"/>
    </row>
    <row r="14" spans="1:16" ht="18.95" customHeight="1">
      <c r="A14" s="2"/>
      <c r="B14" s="2"/>
      <c r="C14" s="435"/>
      <c r="D14" s="436" t="s">
        <v>42</v>
      </c>
      <c r="E14" s="436"/>
      <c r="F14" s="436"/>
      <c r="G14" s="426">
        <f>+'6-Cout économique du projet'!H62</f>
        <v>227519.07749999998</v>
      </c>
      <c r="H14" s="286"/>
      <c r="I14" s="789">
        <f t="shared" si="1"/>
        <v>2024</v>
      </c>
      <c r="J14" s="428">
        <f>+'10-TRE et VAN - Cout d''évitemen'!E18</f>
        <v>96832.49801601129</v>
      </c>
      <c r="K14" s="428">
        <f>+'-9-  Bénéfice cout  d''évitemen '!K24</f>
        <v>341186.4014224392</v>
      </c>
      <c r="L14" s="662">
        <f t="shared" si="0"/>
        <v>244353.90340642791</v>
      </c>
    </row>
    <row r="15" spans="1:16" ht="18.95" customHeight="1">
      <c r="A15" s="2"/>
      <c r="B15" s="2"/>
      <c r="C15" s="435"/>
      <c r="D15" s="436" t="s">
        <v>145</v>
      </c>
      <c r="E15" s="436"/>
      <c r="F15" s="436"/>
      <c r="G15" s="426">
        <f>+'6-Cout économique du projet'!H63</f>
        <v>132437.66003570741</v>
      </c>
      <c r="H15" s="287"/>
      <c r="I15" s="789">
        <f t="shared" si="1"/>
        <v>2025</v>
      </c>
      <c r="J15" s="428">
        <f>+'10-TRE et VAN - Cout d''évitemen'!E19</f>
        <v>97491.293628863205</v>
      </c>
      <c r="K15" s="428">
        <f>+'-9-  Bénéfice cout  d''évitemen '!K25</f>
        <v>342808.83330108132</v>
      </c>
      <c r="L15" s="662">
        <f t="shared" si="0"/>
        <v>245317.53967221812</v>
      </c>
    </row>
    <row r="16" spans="1:16" ht="18.95" customHeight="1">
      <c r="A16" s="2"/>
      <c r="B16" s="2"/>
      <c r="C16" s="435"/>
      <c r="D16" s="941" t="s">
        <v>291</v>
      </c>
      <c r="E16" s="942"/>
      <c r="F16" s="436"/>
      <c r="G16" s="426">
        <f>+SUM(G11:G15)</f>
        <v>1394276.4293162175</v>
      </c>
      <c r="H16" s="287"/>
      <c r="I16" s="789">
        <f t="shared" si="1"/>
        <v>2026</v>
      </c>
      <c r="J16" s="428">
        <f>+'10-TRE et VAN - Cout d''évitemen'!E20</f>
        <v>98183.029022357718</v>
      </c>
      <c r="K16" s="428">
        <f>+'-9-  Bénéfice cout  d''évitemen '!K26</f>
        <v>344439.06989336421</v>
      </c>
      <c r="L16" s="662">
        <f t="shared" si="0"/>
        <v>246256.04087100649</v>
      </c>
      <c r="M16" s="9"/>
    </row>
    <row r="17" spans="1:13" ht="18.95" customHeight="1">
      <c r="A17" s="2"/>
      <c r="B17" s="2"/>
      <c r="C17" s="900" t="s">
        <v>290</v>
      </c>
      <c r="D17" s="901"/>
      <c r="E17" s="901"/>
      <c r="F17" s="902"/>
      <c r="G17" s="429">
        <f>+'6-Cout économique du projet'!J102+'6-Cout économique du projet'!K102+'6-Cout économique du projet'!L102</f>
        <v>379610.28768715949</v>
      </c>
      <c r="H17" s="287"/>
      <c r="I17" s="789">
        <f t="shared" si="1"/>
        <v>2027</v>
      </c>
      <c r="J17" s="428">
        <f>+'10-TRE et VAN - Cout d''évitemen'!E21</f>
        <v>174669.42473552696</v>
      </c>
      <c r="K17" s="428">
        <f>+'-9-  Bénéfice cout  d''évitemen '!K27</f>
        <v>346077.14907273732</v>
      </c>
      <c r="L17" s="662">
        <f t="shared" si="0"/>
        <v>171407.72433721035</v>
      </c>
    </row>
    <row r="18" spans="1:13" s="137" customFormat="1" ht="18.95" customHeight="1">
      <c r="A18" s="133"/>
      <c r="B18" s="133"/>
      <c r="C18" s="903" t="s">
        <v>467</v>
      </c>
      <c r="D18" s="904"/>
      <c r="E18" s="904"/>
      <c r="F18" s="904"/>
      <c r="G18" s="429">
        <f>+'7-Charges d''exp - économique'!F12</f>
        <v>96205.073622819007</v>
      </c>
      <c r="H18" s="273"/>
      <c r="I18" s="789">
        <f>+I17+1</f>
        <v>2028</v>
      </c>
      <c r="J18" s="428">
        <f>+'10-TRE et VAN - Cout d''évitemen'!E22</f>
        <v>98909.351185526961</v>
      </c>
      <c r="K18" s="428">
        <f>+'-9-  Bénéfice cout  d''évitemen '!K28</f>
        <v>347723.10889765597</v>
      </c>
      <c r="L18" s="662">
        <f t="shared" si="0"/>
        <v>248813.75771212901</v>
      </c>
    </row>
    <row r="19" spans="1:13" s="137" customFormat="1" ht="18.95" customHeight="1">
      <c r="A19" s="133"/>
      <c r="B19" s="133"/>
      <c r="C19" s="916" t="s">
        <v>445</v>
      </c>
      <c r="D19" s="917"/>
      <c r="E19" s="917"/>
      <c r="F19" s="918"/>
      <c r="G19" s="922">
        <f>+'[1]-9-  Bénéfice cout  d''évitemen '!K23</f>
        <v>339571.73656809039</v>
      </c>
      <c r="H19" s="277"/>
      <c r="I19" s="789">
        <f t="shared" si="1"/>
        <v>2029</v>
      </c>
      <c r="J19" s="428">
        <f>+'10-TRE et VAN - Cout d''évitemen'!E23</f>
        <v>100472.75964174874</v>
      </c>
      <c r="K19" s="428">
        <f>+'-9-  Bénéfice cout  d''évitemen '!K29</f>
        <v>349376.98761248949</v>
      </c>
      <c r="L19" s="662">
        <f t="shared" si="0"/>
        <v>248904.22797074076</v>
      </c>
    </row>
    <row r="20" spans="1:13" s="137" customFormat="1" ht="18.95" customHeight="1">
      <c r="A20" s="133"/>
      <c r="B20" s="133"/>
      <c r="C20" s="944"/>
      <c r="D20" s="945"/>
      <c r="E20" s="945"/>
      <c r="F20" s="946"/>
      <c r="G20" s="947"/>
      <c r="H20" s="317"/>
      <c r="I20" s="789">
        <f>+I19+1</f>
        <v>2030</v>
      </c>
      <c r="J20" s="428">
        <f>+'10-TRE et VAN - Cout d''évitemen'!E24</f>
        <v>101313.56833588751</v>
      </c>
      <c r="K20" s="428">
        <f>+'-9-  Bénéfice cout  d''évitemen '!K30</f>
        <v>351038.82364843402</v>
      </c>
      <c r="L20" s="662">
        <f>+K20-J20</f>
        <v>249725.25531254651</v>
      </c>
    </row>
    <row r="21" spans="1:13" s="137" customFormat="1" ht="18.95" customHeight="1">
      <c r="A21" s="133"/>
      <c r="B21" s="133"/>
      <c r="C21" s="919"/>
      <c r="D21" s="920"/>
      <c r="E21" s="920"/>
      <c r="F21" s="921"/>
      <c r="G21" s="923"/>
      <c r="H21" s="317"/>
      <c r="I21" s="789">
        <f>+I20+1</f>
        <v>2031</v>
      </c>
      <c r="J21" s="428">
        <f>+'10-TRE et VAN - Cout d''évitemen'!E25</f>
        <v>102196.41746473324</v>
      </c>
      <c r="K21" s="428">
        <f>+'-9-  Bénéfice cout  d''évitemen '!K31</f>
        <v>352708.6556244297</v>
      </c>
      <c r="L21" s="662">
        <f t="shared" si="0"/>
        <v>250512.23815969646</v>
      </c>
    </row>
    <row r="22" spans="1:13" s="137" customFormat="1" ht="18.95" customHeight="1">
      <c r="A22" s="133"/>
      <c r="B22" s="133"/>
      <c r="C22" s="916" t="s">
        <v>468</v>
      </c>
      <c r="D22" s="917"/>
      <c r="E22" s="917"/>
      <c r="F22" s="918"/>
      <c r="G22" s="922">
        <f>+'[1]10-TRE et VAN - Cout d''évitemen'!G17</f>
        <v>255141.11608656376</v>
      </c>
      <c r="H22" s="277"/>
      <c r="I22" s="789">
        <f t="shared" si="1"/>
        <v>2032</v>
      </c>
      <c r="J22" s="428">
        <f>+'10-TRE et VAN - Cout d''évitemen'!E26</f>
        <v>283568.44645732199</v>
      </c>
      <c r="K22" s="428">
        <f>+'-9-  Bénéfice cout  d''évitemen '!K32</f>
        <v>354386.5223480828</v>
      </c>
      <c r="L22" s="662">
        <f t="shared" si="0"/>
        <v>70818.075890760811</v>
      </c>
      <c r="M22" s="284"/>
    </row>
    <row r="23" spans="1:13" s="137" customFormat="1" ht="18.95" customHeight="1">
      <c r="A23" s="133"/>
      <c r="B23" s="133"/>
      <c r="C23" s="919"/>
      <c r="D23" s="920"/>
      <c r="E23" s="920"/>
      <c r="F23" s="921"/>
      <c r="G23" s="923"/>
      <c r="H23" s="317"/>
      <c r="I23" s="789">
        <f t="shared" si="1"/>
        <v>2033</v>
      </c>
      <c r="J23" s="428">
        <f>+'10-TRE et VAN - Cout d''évitemen'!E27</f>
        <v>104096.75021457367</v>
      </c>
      <c r="K23" s="428">
        <f>+'-9-  Bénéfice cout  d''évitemen '!K33</f>
        <v>356072.46281659196</v>
      </c>
      <c r="L23" s="662">
        <f t="shared" si="0"/>
        <v>251975.71260201829</v>
      </c>
      <c r="M23" s="284"/>
    </row>
    <row r="24" spans="1:13" s="137" customFormat="1" ht="18.95" customHeight="1">
      <c r="A24" s="133"/>
      <c r="B24" s="133"/>
      <c r="C24" s="916" t="s">
        <v>154</v>
      </c>
      <c r="D24" s="917"/>
      <c r="E24" s="917"/>
      <c r="F24" s="918"/>
      <c r="G24" s="924">
        <f>+'10-TRE et VAN - Cout d''évitemen'!G39</f>
        <v>0.13301585963788962</v>
      </c>
      <c r="H24" s="285"/>
      <c r="I24" s="789">
        <f t="shared" si="1"/>
        <v>2034</v>
      </c>
      <c r="J24" s="428">
        <f>+'10-TRE et VAN - Cout d''évitemen'!E28</f>
        <v>105118.7584373537</v>
      </c>
      <c r="K24" s="428">
        <f>+'-9-  Bénéfice cout  d''évitemen '!K34</f>
        <v>357766.51621767832</v>
      </c>
      <c r="L24" s="662">
        <f t="shared" si="0"/>
        <v>252647.75778032461</v>
      </c>
    </row>
    <row r="25" spans="1:13" s="137" customFormat="1" ht="18.95" customHeight="1">
      <c r="A25" s="133"/>
      <c r="B25" s="133"/>
      <c r="C25" s="919"/>
      <c r="D25" s="920"/>
      <c r="E25" s="920"/>
      <c r="F25" s="921"/>
      <c r="G25" s="925"/>
      <c r="H25" s="285"/>
      <c r="I25" s="789">
        <f>+I24+1</f>
        <v>2035</v>
      </c>
      <c r="J25" s="428">
        <f>+'10-TRE et VAN - Cout d''évitemen'!E29</f>
        <v>106191.86707127272</v>
      </c>
      <c r="K25" s="428">
        <f>+'-9-  Bénéfice cout  d''évitemen '!K35</f>
        <v>359468.72193052265</v>
      </c>
      <c r="L25" s="662">
        <f t="shared" si="0"/>
        <v>253276.85485924993</v>
      </c>
    </row>
    <row r="26" spans="1:13" s="137" customFormat="1" ht="18.95" customHeight="1" thickBot="1">
      <c r="A26" s="133"/>
      <c r="B26" s="133"/>
      <c r="C26" s="891" t="s">
        <v>295</v>
      </c>
      <c r="D26" s="892"/>
      <c r="E26" s="892"/>
      <c r="F26" s="893"/>
      <c r="G26" s="439">
        <f>+'10-TRE et VAN - Cout d''évitemen'!H39</f>
        <v>1221328.4312091174</v>
      </c>
      <c r="H26" s="285"/>
      <c r="I26" s="789">
        <f>+I25+1</f>
        <v>2036</v>
      </c>
      <c r="J26" s="428">
        <f>+'10-TRE et VAN - Cout d''évitemen'!E30</f>
        <v>107318.63113688771</v>
      </c>
      <c r="K26" s="428">
        <f>+'-9-  Bénéfice cout  d''évitemen '!K36</f>
        <v>361179.11952670361</v>
      </c>
      <c r="L26" s="662">
        <f t="shared" si="0"/>
        <v>253860.4883898159</v>
      </c>
    </row>
    <row r="27" spans="1:13" s="137" customFormat="1" ht="18.95" customHeight="1">
      <c r="A27" s="133"/>
      <c r="B27" s="133"/>
      <c r="C27" s="133"/>
      <c r="D27" s="133"/>
      <c r="E27" s="133"/>
      <c r="F27" s="133"/>
      <c r="G27" s="288"/>
      <c r="H27" s="285"/>
      <c r="I27" s="789">
        <f t="shared" si="1"/>
        <v>2037</v>
      </c>
      <c r="J27" s="428">
        <f>+'10-TRE et VAN - Cout d''évitemen'!E31</f>
        <v>231906.91013564225</v>
      </c>
      <c r="K27" s="428">
        <f>+'-9-  Bénéfice cout  d''évitemen '!K37</f>
        <v>362897.74877114384</v>
      </c>
      <c r="L27" s="662">
        <f t="shared" si="0"/>
        <v>130990.8386355016</v>
      </c>
    </row>
    <row r="28" spans="1:13" s="137" customFormat="1" ht="18.95" customHeight="1">
      <c r="A28" s="133"/>
      <c r="B28" s="133"/>
      <c r="C28" s="943"/>
      <c r="D28" s="943"/>
      <c r="E28" s="943"/>
      <c r="F28" s="943"/>
      <c r="G28" s="285"/>
      <c r="H28" s="285"/>
      <c r="I28" s="789">
        <f t="shared" si="1"/>
        <v>2038</v>
      </c>
      <c r="J28" s="428">
        <f>+'10-TRE et VAN - Cout d''évitemen'!E32</f>
        <v>109743.99078812398</v>
      </c>
      <c r="K28" s="428">
        <f>+'-9-  Bénéfice cout  d''évitemen '!K38</f>
        <v>364624.64962305868</v>
      </c>
      <c r="L28" s="662">
        <f t="shared" si="0"/>
        <v>254880.6588349347</v>
      </c>
    </row>
    <row r="29" spans="1:13" ht="18.95" customHeight="1">
      <c r="A29" s="2"/>
      <c r="B29" s="2"/>
      <c r="C29" s="2"/>
      <c r="D29" s="2"/>
      <c r="E29" s="2"/>
      <c r="F29" s="2"/>
      <c r="G29" s="128"/>
      <c r="H29" s="128"/>
      <c r="I29" s="789">
        <f t="shared" si="1"/>
        <v>2039</v>
      </c>
      <c r="J29" s="428">
        <f>+'10-TRE et VAN - Cout d''évitemen'!E33</f>
        <v>111048.3610395815</v>
      </c>
      <c r="K29" s="428">
        <f>+'-9-  Bénéfice cout  d''évitemen '!K39</f>
        <v>366359.86223691056</v>
      </c>
      <c r="L29" s="662">
        <f t="shared" si="0"/>
        <v>255311.50119732905</v>
      </c>
    </row>
    <row r="30" spans="1:13" ht="18.95" customHeight="1">
      <c r="A30" s="2"/>
      <c r="B30" s="2"/>
      <c r="C30" s="2"/>
      <c r="D30" s="2"/>
      <c r="E30" s="2"/>
      <c r="F30" s="2"/>
      <c r="G30" s="38"/>
      <c r="H30" s="38"/>
      <c r="I30" s="789">
        <f t="shared" si="1"/>
        <v>2040</v>
      </c>
      <c r="J30" s="428">
        <f>+'10-TRE et VAN - Cout d''évitemen'!E34</f>
        <v>112417.94980361193</v>
      </c>
      <c r="K30" s="428">
        <f>+'-9-  Bénéfice cout  d''évitemen '!K40</f>
        <v>368103.42696336762</v>
      </c>
      <c r="L30" s="662">
        <f t="shared" si="0"/>
        <v>255685.47715975568</v>
      </c>
    </row>
    <row r="31" spans="1:13" ht="18.95" customHeight="1">
      <c r="A31" s="2"/>
      <c r="B31" s="2"/>
      <c r="C31" s="2"/>
      <c r="D31" s="2"/>
      <c r="E31" s="2"/>
      <c r="F31" s="2"/>
      <c r="G31" s="38"/>
      <c r="H31" s="38"/>
      <c r="I31" s="789">
        <f t="shared" si="1"/>
        <v>2041</v>
      </c>
      <c r="J31" s="428">
        <f>+'10-TRE et VAN - Cout d''évitemen'!E35</f>
        <v>113856.01800584389</v>
      </c>
      <c r="K31" s="428">
        <f>+'-9-  Bénéfice cout  d''évitemen '!K41</f>
        <v>369855.38435026718</v>
      </c>
      <c r="L31" s="662">
        <f t="shared" si="0"/>
        <v>255999.3663444233</v>
      </c>
    </row>
    <row r="32" spans="1:13" ht="18.95" customHeight="1" thickBot="1">
      <c r="A32" s="2"/>
      <c r="B32" s="2"/>
      <c r="C32" s="2"/>
      <c r="D32" s="2"/>
      <c r="E32" s="2"/>
      <c r="F32" s="2"/>
      <c r="G32" s="38"/>
      <c r="H32" s="38"/>
      <c r="I32" s="431">
        <f t="shared" si="1"/>
        <v>2042</v>
      </c>
      <c r="J32" s="797">
        <f>+'10-TRE et VAN - Cout d''évitemen'!E36</f>
        <v>115365.98961818742</v>
      </c>
      <c r="K32" s="432">
        <f>+'-9-  Bénéfice cout  d''évitemen '!K42</f>
        <v>371615.77514358424</v>
      </c>
      <c r="L32" s="665">
        <f t="shared" si="0"/>
        <v>256249.78552539682</v>
      </c>
    </row>
    <row r="33" spans="1:12" ht="18.95" customHeight="1" thickBot="1">
      <c r="A33" s="2"/>
      <c r="B33" s="2"/>
      <c r="C33" s="2"/>
      <c r="D33" s="2"/>
      <c r="E33" s="2"/>
      <c r="F33" s="2"/>
      <c r="G33" s="38"/>
      <c r="H33" s="38"/>
      <c r="I33" s="38"/>
      <c r="J33" s="38"/>
      <c r="K33" s="38"/>
    </row>
    <row r="34" spans="1:12" ht="18.95" customHeight="1">
      <c r="A34" s="2"/>
      <c r="B34" s="2"/>
      <c r="C34" s="2"/>
      <c r="D34" s="2"/>
      <c r="E34" s="2"/>
      <c r="F34" s="2"/>
      <c r="G34" s="38"/>
      <c r="H34" s="38"/>
      <c r="I34" s="128"/>
      <c r="J34" s="128"/>
      <c r="K34" s="791" t="s">
        <v>2</v>
      </c>
      <c r="L34" s="795">
        <f>+IRR(L7:L32)</f>
        <v>0.13301585963788962</v>
      </c>
    </row>
    <row r="35" spans="1:12" ht="18.95" customHeight="1" thickBot="1">
      <c r="A35" s="2"/>
      <c r="B35" s="2"/>
      <c r="C35" s="2"/>
      <c r="D35" s="2"/>
      <c r="E35" s="2"/>
      <c r="F35" s="2"/>
      <c r="G35" s="38"/>
      <c r="H35" s="38"/>
      <c r="I35" s="128"/>
      <c r="J35" s="292"/>
      <c r="K35" s="793" t="s">
        <v>294</v>
      </c>
      <c r="L35" s="439">
        <f>+NPV(5%,(L10:L32))</f>
        <v>1221328.4312091174</v>
      </c>
    </row>
    <row r="36" spans="1:12">
      <c r="A36" s="2"/>
      <c r="B36" s="2"/>
      <c r="C36" s="2"/>
      <c r="D36" s="2"/>
      <c r="E36" s="2"/>
      <c r="F36" s="2"/>
      <c r="G36" s="38"/>
      <c r="H36" s="283"/>
      <c r="L36" s="272"/>
    </row>
    <row r="37" spans="1:12">
      <c r="A37" s="2"/>
      <c r="B37" s="2"/>
      <c r="C37" s="2"/>
      <c r="D37" s="2"/>
      <c r="E37" s="2"/>
      <c r="F37" s="2"/>
      <c r="G37" s="38"/>
      <c r="H37" s="38"/>
    </row>
    <row r="38" spans="1:12">
      <c r="A38" s="2"/>
      <c r="B38" s="2"/>
      <c r="C38" s="2"/>
      <c r="D38" s="2"/>
      <c r="E38" s="2"/>
      <c r="F38" s="2"/>
      <c r="G38" s="128"/>
      <c r="H38" s="128"/>
    </row>
    <row r="39" spans="1:12">
      <c r="B39" s="2"/>
      <c r="C39" s="2"/>
      <c r="D39" s="2"/>
      <c r="E39" s="2"/>
      <c r="F39" s="2"/>
      <c r="G39" s="128"/>
      <c r="H39" s="128"/>
    </row>
  </sheetData>
  <mergeCells count="20">
    <mergeCell ref="C26:F26"/>
    <mergeCell ref="C28:F28"/>
    <mergeCell ref="C19:F21"/>
    <mergeCell ref="G19:G21"/>
    <mergeCell ref="C22:F23"/>
    <mergeCell ref="G22:G23"/>
    <mergeCell ref="C18:F18"/>
    <mergeCell ref="D16:E16"/>
    <mergeCell ref="I7:I9"/>
    <mergeCell ref="C24:F25"/>
    <mergeCell ref="G24:G25"/>
    <mergeCell ref="C17:F17"/>
    <mergeCell ref="C3:L3"/>
    <mergeCell ref="C5:G5"/>
    <mergeCell ref="J7:J9"/>
    <mergeCell ref="I5:L5"/>
    <mergeCell ref="L7:L9"/>
    <mergeCell ref="K7:K9"/>
    <mergeCell ref="C7:F8"/>
    <mergeCell ref="G7:G8"/>
  </mergeCells>
  <printOptions horizontalCentered="1" verticalCentered="1"/>
  <pageMargins left="0.39370078740157483" right="0.39370078740157483" top="0.74803149606299213" bottom="0.74803149606299213" header="0" footer="0"/>
  <pageSetup paperSize="9" scale="64" orientation="portrait" r:id="rId1"/>
  <drawing r:id="rId2"/>
</worksheet>
</file>

<file path=xl/worksheets/sheet6.xml><?xml version="1.0" encoding="utf-8"?>
<worksheet xmlns="http://schemas.openxmlformats.org/spreadsheetml/2006/main" xmlns:r="http://schemas.openxmlformats.org/officeDocument/2006/relationships">
  <dimension ref="A1:W102"/>
  <sheetViews>
    <sheetView zoomScale="87" zoomScaleNormal="87" workbookViewId="0">
      <selection activeCell="N33" sqref="N33"/>
    </sheetView>
  </sheetViews>
  <sheetFormatPr baseColWidth="10" defaultRowHeight="15"/>
  <cols>
    <col min="2" max="2" width="13" customWidth="1"/>
    <col min="4" max="4" width="13.42578125" customWidth="1"/>
    <col min="5" max="5" width="33" customWidth="1"/>
    <col min="6" max="6" width="18.28515625" style="1" customWidth="1"/>
    <col min="7" max="7" width="14.42578125" style="39" customWidth="1"/>
    <col min="8" max="8" width="15.85546875" style="36" customWidth="1"/>
    <col min="9" max="9" width="13.7109375" style="33" customWidth="1"/>
    <col min="10" max="10" width="12" style="36" bestFit="1" customWidth="1"/>
    <col min="11" max="11" width="12.7109375" style="36" customWidth="1"/>
    <col min="12" max="12" width="12.85546875" style="36" customWidth="1"/>
    <col min="13" max="14" width="10.85546875" style="36"/>
    <col min="15" max="18" width="10.85546875" style="226"/>
    <col min="19" max="19" width="12.85546875" style="226" customWidth="1"/>
    <col min="20" max="21" width="10.85546875" style="226"/>
    <col min="22" max="22" width="12.28515625" style="226" customWidth="1"/>
    <col min="23" max="23" width="10.85546875" style="226"/>
  </cols>
  <sheetData>
    <row r="1" spans="2:23">
      <c r="F1" s="39"/>
    </row>
    <row r="2" spans="2:23">
      <c r="F2" s="39"/>
    </row>
    <row r="3" spans="2:23" ht="30" customHeight="1" thickBot="1">
      <c r="F3" s="39"/>
      <c r="G3" s="177"/>
      <c r="H3" s="97"/>
    </row>
    <row r="4" spans="2:23" ht="20.100000000000001" customHeight="1">
      <c r="B4" s="948" t="s">
        <v>243</v>
      </c>
      <c r="C4" s="949"/>
      <c r="D4" s="949"/>
      <c r="E4" s="949"/>
      <c r="F4" s="949"/>
      <c r="G4" s="949"/>
      <c r="H4" s="950"/>
    </row>
    <row r="5" spans="2:23" ht="20.100000000000001" customHeight="1">
      <c r="B5" s="951"/>
      <c r="C5" s="952"/>
      <c r="D5" s="952"/>
      <c r="E5" s="952"/>
      <c r="F5" s="952"/>
      <c r="G5" s="952"/>
      <c r="H5" s="953"/>
    </row>
    <row r="6" spans="2:23" ht="16.5" customHeight="1" thickBot="1">
      <c r="B6" s="954"/>
      <c r="C6" s="955"/>
      <c r="D6" s="955"/>
      <c r="E6" s="955"/>
      <c r="F6" s="955"/>
      <c r="G6" s="955"/>
      <c r="H6" s="956"/>
    </row>
    <row r="7" spans="2:23" ht="15" customHeight="1">
      <c r="C7" s="179"/>
      <c r="D7" s="179"/>
      <c r="E7" s="179"/>
      <c r="F7" s="179"/>
      <c r="G7" s="179"/>
      <c r="H7" s="227"/>
    </row>
    <row r="8" spans="2:23" ht="15" customHeight="1" thickBot="1">
      <c r="C8" s="179"/>
      <c r="D8" s="179"/>
      <c r="E8" s="179"/>
      <c r="F8" s="179"/>
      <c r="G8" s="179"/>
      <c r="H8" s="227"/>
    </row>
    <row r="9" spans="2:23" ht="54.75" customHeight="1" thickBot="1">
      <c r="B9" s="975" t="s">
        <v>179</v>
      </c>
      <c r="C9" s="976"/>
      <c r="D9" s="976"/>
      <c r="E9" s="976"/>
      <c r="F9" s="976"/>
      <c r="G9" s="976"/>
      <c r="H9" s="977"/>
    </row>
    <row r="10" spans="2:23" ht="15" customHeight="1">
      <c r="C10" s="179"/>
      <c r="D10" s="179"/>
      <c r="E10" s="179"/>
      <c r="F10" s="179"/>
      <c r="G10" s="179"/>
      <c r="H10" s="227"/>
    </row>
    <row r="11" spans="2:23" ht="15" customHeight="1">
      <c r="B11" s="1030"/>
      <c r="C11" s="1030"/>
      <c r="D11" s="1030"/>
      <c r="E11" s="179"/>
      <c r="F11" s="179"/>
      <c r="G11" s="179"/>
      <c r="H11" s="227"/>
    </row>
    <row r="12" spans="2:23" ht="15" customHeight="1" thickBot="1">
      <c r="C12" s="179"/>
      <c r="D12" s="179"/>
      <c r="E12" s="179"/>
      <c r="F12" s="179"/>
      <c r="G12" s="179"/>
      <c r="H12" s="227"/>
    </row>
    <row r="13" spans="2:23" ht="65.25" customHeight="1">
      <c r="B13" s="1006" t="s">
        <v>3</v>
      </c>
      <c r="C13" s="1043"/>
      <c r="D13" s="1043"/>
      <c r="E13" s="1044"/>
      <c r="F13" s="1013" t="s">
        <v>446</v>
      </c>
      <c r="G13" s="1019" t="s">
        <v>399</v>
      </c>
      <c r="H13" s="1020"/>
      <c r="I13" s="1021"/>
      <c r="J13" s="1018" t="s">
        <v>134</v>
      </c>
      <c r="K13" s="896"/>
      <c r="L13" s="928"/>
      <c r="M13" s="1006" t="s">
        <v>135</v>
      </c>
      <c r="N13" s="1007"/>
      <c r="O13" s="1008"/>
      <c r="P13" s="1009" t="s">
        <v>159</v>
      </c>
      <c r="Q13" s="1010"/>
      <c r="R13" s="1011"/>
      <c r="S13" s="1012" t="s">
        <v>156</v>
      </c>
      <c r="T13" s="1010"/>
      <c r="U13" s="1010"/>
      <c r="V13" s="1011"/>
    </row>
    <row r="14" spans="2:23" ht="59.25" customHeight="1" thickBot="1">
      <c r="B14" s="1045"/>
      <c r="C14" s="1046"/>
      <c r="D14" s="1046"/>
      <c r="E14" s="1047"/>
      <c r="F14" s="1014"/>
      <c r="G14" s="553">
        <v>2020</v>
      </c>
      <c r="H14" s="547">
        <f>+G14+1</f>
        <v>2021</v>
      </c>
      <c r="I14" s="554">
        <f>+H14+1</f>
        <v>2022</v>
      </c>
      <c r="J14" s="553">
        <v>2020</v>
      </c>
      <c r="K14" s="547">
        <f>+J14+1</f>
        <v>2021</v>
      </c>
      <c r="L14" s="554">
        <f>+K14+1</f>
        <v>2022</v>
      </c>
      <c r="M14" s="553">
        <v>2020</v>
      </c>
      <c r="N14" s="547">
        <f>+M14+1</f>
        <v>2021</v>
      </c>
      <c r="O14" s="554">
        <f>+N14+1</f>
        <v>2022</v>
      </c>
      <c r="P14" s="553">
        <v>2020</v>
      </c>
      <c r="Q14" s="547">
        <f>+P14+1</f>
        <v>2021</v>
      </c>
      <c r="R14" s="554">
        <f>+Q14+1</f>
        <v>2022</v>
      </c>
      <c r="S14" s="559" t="s">
        <v>157</v>
      </c>
      <c r="T14" s="548" t="s">
        <v>134</v>
      </c>
      <c r="U14" s="548" t="s">
        <v>136</v>
      </c>
      <c r="V14" s="549" t="s">
        <v>158</v>
      </c>
    </row>
    <row r="15" spans="2:23" s="137" customFormat="1" ht="29.1" customHeight="1">
      <c r="B15" s="1031" t="s">
        <v>121</v>
      </c>
      <c r="C15" s="1032"/>
      <c r="D15" s="1032"/>
      <c r="E15" s="1033"/>
      <c r="F15" s="557">
        <f>+'3-DONNEE DE BASE'!F13*'3-DONNEE DE BASE'!G14</f>
        <v>202500</v>
      </c>
      <c r="G15" s="555">
        <f>+F15*'3-DONNEE DE BASE'!D31</f>
        <v>202500</v>
      </c>
      <c r="H15" s="545">
        <f>+F15*'3-DONNEE DE BASE'!D32</f>
        <v>0</v>
      </c>
      <c r="I15" s="556">
        <f>+F15*'3-DONNEE DE BASE'!D33</f>
        <v>0</v>
      </c>
      <c r="J15" s="558">
        <f>+G15*'3-DONNEE DE BASE'!D25</f>
        <v>0</v>
      </c>
      <c r="K15" s="545">
        <f>+H15*'3-DONNEE DE BASE'!D25</f>
        <v>0</v>
      </c>
      <c r="L15" s="556">
        <f>+I15*'3-DONNEE DE BASE'!D25</f>
        <v>0</v>
      </c>
      <c r="M15" s="558">
        <f>+(G15+J15)*(F27-1)</f>
        <v>25019.077499999992</v>
      </c>
      <c r="N15" s="545">
        <f>+H15+K15</f>
        <v>0</v>
      </c>
      <c r="O15" s="556">
        <f>+I15+L15</f>
        <v>0</v>
      </c>
      <c r="P15" s="558">
        <f>+M15+J15+G15</f>
        <v>227519.07749999998</v>
      </c>
      <c r="Q15" s="545">
        <f>+N15+K15+H15</f>
        <v>0</v>
      </c>
      <c r="R15" s="556">
        <f>+O15+L15+I15</f>
        <v>0</v>
      </c>
      <c r="S15" s="550">
        <f t="shared" ref="S15:S21" si="0">+F15</f>
        <v>202500</v>
      </c>
      <c r="T15" s="545">
        <f>+J15+K15+L15</f>
        <v>0</v>
      </c>
      <c r="U15" s="545">
        <f>+M15+N15+O15</f>
        <v>25019.077499999992</v>
      </c>
      <c r="V15" s="546">
        <f>+U15+T15+S15</f>
        <v>227519.07749999998</v>
      </c>
      <c r="W15" s="190"/>
    </row>
    <row r="16" spans="2:23" s="137" customFormat="1" ht="29.1" customHeight="1">
      <c r="B16" s="1034" t="s">
        <v>120</v>
      </c>
      <c r="C16" s="1035"/>
      <c r="D16" s="1035"/>
      <c r="E16" s="1036"/>
      <c r="F16" s="350">
        <f>+F15*'3-DONNEE DE BASE'!D15</f>
        <v>20250</v>
      </c>
      <c r="G16" s="339">
        <f>+F16*'3-DONNEE DE BASE'!D31</f>
        <v>20250</v>
      </c>
      <c r="H16" s="340">
        <f>+F16*'3-DONNEE DE BASE'!D32</f>
        <v>0</v>
      </c>
      <c r="I16" s="341">
        <f>+F16*'3-DONNEE DE BASE'!D33</f>
        <v>0</v>
      </c>
      <c r="J16" s="342">
        <f>+G16*'3-DONNEE DE BASE'!D25</f>
        <v>0</v>
      </c>
      <c r="K16" s="340">
        <f>+H16*'3-DONNEE DE BASE'!D25</f>
        <v>0</v>
      </c>
      <c r="L16" s="341">
        <f>+I16*'3-DONNEE DE BASE'!D25</f>
        <v>0</v>
      </c>
      <c r="M16" s="342">
        <f>+(G16+J16)*(F27-1)</f>
        <v>2501.9077499999994</v>
      </c>
      <c r="N16" s="340">
        <f>+H16+K16</f>
        <v>0</v>
      </c>
      <c r="O16" s="341">
        <f>+L16+I16</f>
        <v>0</v>
      </c>
      <c r="P16" s="342">
        <f t="shared" ref="P16:P21" si="1">+M16+J16+G16</f>
        <v>22751.907749999998</v>
      </c>
      <c r="Q16" s="340">
        <f t="shared" ref="Q16:Q21" si="2">+N16+K16+H16</f>
        <v>0</v>
      </c>
      <c r="R16" s="341">
        <f t="shared" ref="R16:R21" si="3">+O16+L16+I16</f>
        <v>0</v>
      </c>
      <c r="S16" s="551">
        <f t="shared" si="0"/>
        <v>20250</v>
      </c>
      <c r="T16" s="340">
        <f t="shared" ref="T16:T21" si="4">+J16+K16+L16</f>
        <v>0</v>
      </c>
      <c r="U16" s="340">
        <f t="shared" ref="U16:U21" si="5">+M16+N16+O16</f>
        <v>2501.9077499999994</v>
      </c>
      <c r="V16" s="349">
        <f t="shared" ref="V16:V21" si="6">+U16+T16+S16</f>
        <v>22751.907749999998</v>
      </c>
      <c r="W16" s="190"/>
    </row>
    <row r="17" spans="2:23" ht="52.5" customHeight="1">
      <c r="B17" s="1037" t="s">
        <v>137</v>
      </c>
      <c r="C17" s="1038"/>
      <c r="D17" s="1038"/>
      <c r="E17" s="1039"/>
      <c r="F17" s="350">
        <f>+'3-DONNEE DE BASE'!G16</f>
        <v>800000</v>
      </c>
      <c r="G17" s="339">
        <f>+F17*'3-DONNEE DE BASE'!D39</f>
        <v>0</v>
      </c>
      <c r="H17" s="340">
        <f>+F17*'3-DONNEE DE BASE'!D40</f>
        <v>640000</v>
      </c>
      <c r="I17" s="341">
        <f>+F17*'3-DONNEE DE BASE'!D41</f>
        <v>159999.99999999997</v>
      </c>
      <c r="J17" s="342">
        <f>+G17*'3-DONNEE DE BASE'!D22</f>
        <v>0</v>
      </c>
      <c r="K17" s="340">
        <f>+H17*'3-DONNEE DE BASE'!D22</f>
        <v>57600</v>
      </c>
      <c r="L17" s="341">
        <f>+I17*'3-DONNEE DE BASE'!D22</f>
        <v>14399.999999999996</v>
      </c>
      <c r="M17" s="342">
        <f>+(G17+J17)*(1-F27)</f>
        <v>0</v>
      </c>
      <c r="N17" s="340">
        <f>+(H17+K17)*(G27-1)</f>
        <v>127730.00401279988</v>
      </c>
      <c r="O17" s="341">
        <f>+(I17+L17)*(H27-1)</f>
        <v>42868.123556369566</v>
      </c>
      <c r="P17" s="342">
        <f t="shared" si="1"/>
        <v>0</v>
      </c>
      <c r="Q17" s="340">
        <f t="shared" si="2"/>
        <v>825330.00401279982</v>
      </c>
      <c r="R17" s="341">
        <f t="shared" si="3"/>
        <v>217268.12355636954</v>
      </c>
      <c r="S17" s="551">
        <f t="shared" si="0"/>
        <v>800000</v>
      </c>
      <c r="T17" s="340">
        <f t="shared" si="4"/>
        <v>72000</v>
      </c>
      <c r="U17" s="340">
        <f t="shared" si="5"/>
        <v>170598.12756916945</v>
      </c>
      <c r="V17" s="349">
        <f t="shared" si="6"/>
        <v>1042598.1275691695</v>
      </c>
    </row>
    <row r="18" spans="2:23" s="137" customFormat="1" ht="58.5" customHeight="1">
      <c r="B18" s="1040" t="s">
        <v>151</v>
      </c>
      <c r="C18" s="1041"/>
      <c r="D18" s="1041"/>
      <c r="E18" s="1042"/>
      <c r="F18" s="350">
        <f>+F17*'3-DONNEE DE BASE'!D17</f>
        <v>62400</v>
      </c>
      <c r="G18" s="339">
        <f>+F18*'3-DONNEE DE BASE'!D43</f>
        <v>0</v>
      </c>
      <c r="H18" s="340">
        <f>+F18*'3-DONNEE DE BASE'!D44</f>
        <v>49920</v>
      </c>
      <c r="I18" s="341">
        <f>+F18*'3-DONNEE DE BASE'!D45</f>
        <v>12479.999999999996</v>
      </c>
      <c r="J18" s="342">
        <f>+G18*'3-DONNEE DE BASE'!D23</f>
        <v>0</v>
      </c>
      <c r="K18" s="340">
        <f>+H18*'3-DONNEE DE BASE'!D23</f>
        <v>2496</v>
      </c>
      <c r="L18" s="341">
        <f>+I18*'3-DONNEE DE BASE'!D23</f>
        <v>623.99999999999989</v>
      </c>
      <c r="M18" s="342">
        <f>+(G18+J18)*(F27-1)</f>
        <v>0</v>
      </c>
      <c r="N18" s="340">
        <f>+(H18+K18)*(G27-1)</f>
        <v>9597.3278244479898</v>
      </c>
      <c r="O18" s="341">
        <f>+(I18+L18)*(H27-1)</f>
        <v>3221.0085497859332</v>
      </c>
      <c r="P18" s="342">
        <f t="shared" si="1"/>
        <v>0</v>
      </c>
      <c r="Q18" s="340">
        <f t="shared" si="2"/>
        <v>62013.327824447988</v>
      </c>
      <c r="R18" s="341">
        <f t="shared" si="3"/>
        <v>16325.008549785929</v>
      </c>
      <c r="S18" s="551">
        <f t="shared" si="0"/>
        <v>62400</v>
      </c>
      <c r="T18" s="340">
        <f t="shared" si="4"/>
        <v>3120</v>
      </c>
      <c r="U18" s="340">
        <f t="shared" si="5"/>
        <v>12818.336374233922</v>
      </c>
      <c r="V18" s="349">
        <f t="shared" si="6"/>
        <v>78338.336374233928</v>
      </c>
      <c r="W18" s="190"/>
    </row>
    <row r="19" spans="2:23" ht="33.75" customHeight="1">
      <c r="B19" s="1015" t="s">
        <v>152</v>
      </c>
      <c r="C19" s="1016"/>
      <c r="D19" s="1016"/>
      <c r="E19" s="1017"/>
      <c r="F19" s="350">
        <f>+F17*'3-DONNEE DE BASE'!D18</f>
        <v>42400</v>
      </c>
      <c r="G19" s="339">
        <f>+F19*'3-DONNEE DE BASE'!D47</f>
        <v>0</v>
      </c>
      <c r="H19" s="340">
        <f>+F19*'3-DONNEE DE BASE'!D48</f>
        <v>16960</v>
      </c>
      <c r="I19" s="341">
        <f>+F19*'3-DONNEE DE BASE'!D49</f>
        <v>25440</v>
      </c>
      <c r="J19" s="342">
        <f>+G19*'3-DONNEE DE BASE'!D24</f>
        <v>0</v>
      </c>
      <c r="K19" s="340">
        <f>+H19*'3-DONNEE DE BASE'!D24</f>
        <v>848</v>
      </c>
      <c r="L19" s="341">
        <f>+I19*'3-DONNEE DE BASE'!D24</f>
        <v>1272</v>
      </c>
      <c r="M19" s="342">
        <f>+(G19+J19)*(F27-1)</f>
        <v>0</v>
      </c>
      <c r="N19" s="340">
        <f>+(H19+K19)*(G27-1)</f>
        <v>3260.6306070239966</v>
      </c>
      <c r="O19" s="341">
        <f>+(I19+L19)*(H27-1)</f>
        <v>6565.9020437944037</v>
      </c>
      <c r="P19" s="342">
        <f t="shared" si="1"/>
        <v>0</v>
      </c>
      <c r="Q19" s="340">
        <f t="shared" si="2"/>
        <v>21068.630607023995</v>
      </c>
      <c r="R19" s="341">
        <f t="shared" si="3"/>
        <v>33277.902043794405</v>
      </c>
      <c r="S19" s="551">
        <f t="shared" si="0"/>
        <v>42400</v>
      </c>
      <c r="T19" s="340">
        <f t="shared" si="4"/>
        <v>2120</v>
      </c>
      <c r="U19" s="340">
        <f t="shared" si="5"/>
        <v>9826.5326508184007</v>
      </c>
      <c r="V19" s="349">
        <f t="shared" si="6"/>
        <v>54346.532650818401</v>
      </c>
    </row>
    <row r="20" spans="2:23" ht="21" customHeight="1">
      <c r="B20" s="1015" t="s">
        <v>122</v>
      </c>
      <c r="C20" s="1016"/>
      <c r="D20" s="1016"/>
      <c r="E20" s="1017"/>
      <c r="F20" s="350">
        <f>+(F17+F18+F19)*'3-DONNEE DE BASE'!D19</f>
        <v>85956</v>
      </c>
      <c r="G20" s="339">
        <f>+F20*'3-DONNEE DE BASE'!D35</f>
        <v>85956</v>
      </c>
      <c r="H20" s="340">
        <f>+F20*'3-DONNEE DE BASE'!D36</f>
        <v>0</v>
      </c>
      <c r="I20" s="341">
        <f>+F20*'3-DONNEE DE BASE'!D37</f>
        <v>0</v>
      </c>
      <c r="J20" s="342">
        <f>+G20*'3-DONNEE DE BASE'!D25</f>
        <v>0</v>
      </c>
      <c r="K20" s="340">
        <f>+H20*'3-DONNEE DE BASE'!D25</f>
        <v>0</v>
      </c>
      <c r="L20" s="341">
        <f>+I20*'3-DONNEE DE BASE'!D25</f>
        <v>0</v>
      </c>
      <c r="M20" s="342">
        <f>+(G20+J20)*(F27-1)</f>
        <v>10619.949755999996</v>
      </c>
      <c r="N20" s="340">
        <f>+H20+K20</f>
        <v>0</v>
      </c>
      <c r="O20" s="341">
        <f>+I20+L20</f>
        <v>0</v>
      </c>
      <c r="P20" s="342">
        <f t="shared" si="1"/>
        <v>96575.949756000002</v>
      </c>
      <c r="Q20" s="340">
        <f t="shared" si="2"/>
        <v>0</v>
      </c>
      <c r="R20" s="341">
        <f t="shared" si="3"/>
        <v>0</v>
      </c>
      <c r="S20" s="551">
        <f t="shared" si="0"/>
        <v>85956</v>
      </c>
      <c r="T20" s="340">
        <f t="shared" si="4"/>
        <v>0</v>
      </c>
      <c r="U20" s="340">
        <f t="shared" si="5"/>
        <v>10619.949755999996</v>
      </c>
      <c r="V20" s="349">
        <f t="shared" si="6"/>
        <v>96575.949756000002</v>
      </c>
    </row>
    <row r="21" spans="2:23" ht="23.1" customHeight="1">
      <c r="B21" s="1015" t="s">
        <v>123</v>
      </c>
      <c r="C21" s="1016"/>
      <c r="D21" s="1016"/>
      <c r="E21" s="1017"/>
      <c r="F21" s="350">
        <f>+'3-DONNEE DE BASE'!D20*('6-Cout économique du projet'!F17+'6-Cout économique du projet'!F18+'6-Cout économique du projet'!F19+'6-Cout économique du projet'!F20)</f>
        <v>44584.02</v>
      </c>
      <c r="G21" s="343">
        <f>+F21*'3-DONNEE DE BASE'!D51</f>
        <v>13375.205999999998</v>
      </c>
      <c r="H21" s="340">
        <f>+F21*'3-DONNEE DE BASE'!D52</f>
        <v>26750.411999999997</v>
      </c>
      <c r="I21" s="341">
        <f>+F21*'3-DONNEE DE BASE'!D53</f>
        <v>4458.402000000001</v>
      </c>
      <c r="J21" s="342">
        <f>+G21*'3-DONNEE DE BASE'!D25</f>
        <v>0</v>
      </c>
      <c r="K21" s="340">
        <f>+H21*'3-DONNEE DE BASE'!D25</f>
        <v>0</v>
      </c>
      <c r="L21" s="341">
        <f>+I21*'3-DONNEE DE BASE'!D25</f>
        <v>0</v>
      </c>
      <c r="M21" s="342">
        <f>+(G21+J21)*(F27-1)</f>
        <v>1652.5200765059994</v>
      </c>
      <c r="N21" s="340">
        <f>+(H21+K21)*(G27-1)</f>
        <v>4897.9791171216302</v>
      </c>
      <c r="O21" s="341">
        <f>+(I21+L21)*(H27-1)</f>
        <v>1095.8906410548466</v>
      </c>
      <c r="P21" s="342">
        <f t="shared" si="1"/>
        <v>15027.726076505998</v>
      </c>
      <c r="Q21" s="340">
        <f t="shared" si="2"/>
        <v>31648.391117121628</v>
      </c>
      <c r="R21" s="341">
        <f t="shared" si="3"/>
        <v>5554.292641054848</v>
      </c>
      <c r="S21" s="551">
        <f t="shared" si="0"/>
        <v>44584.02</v>
      </c>
      <c r="T21" s="340">
        <f t="shared" si="4"/>
        <v>0</v>
      </c>
      <c r="U21" s="340">
        <f t="shared" si="5"/>
        <v>7646.3898346824753</v>
      </c>
      <c r="V21" s="349">
        <f t="shared" si="6"/>
        <v>52230.409834682476</v>
      </c>
    </row>
    <row r="22" spans="2:23" s="190" customFormat="1" ht="31.5" customHeight="1" thickBot="1">
      <c r="B22" s="1027" t="s">
        <v>34</v>
      </c>
      <c r="C22" s="1028"/>
      <c r="D22" s="1028"/>
      <c r="E22" s="1029"/>
      <c r="F22" s="347">
        <f>+SUM(F15:F21)</f>
        <v>1258090.02</v>
      </c>
      <c r="G22" s="344">
        <f t="shared" ref="G22:S22" si="7">+SUM(G15:G21)</f>
        <v>322081.20600000001</v>
      </c>
      <c r="H22" s="345">
        <f t="shared" si="7"/>
        <v>733630.41200000001</v>
      </c>
      <c r="I22" s="346">
        <f t="shared" si="7"/>
        <v>202378.40199999997</v>
      </c>
      <c r="J22" s="344">
        <f t="shared" si="7"/>
        <v>0</v>
      </c>
      <c r="K22" s="345">
        <f t="shared" si="7"/>
        <v>60944</v>
      </c>
      <c r="L22" s="346">
        <f t="shared" si="7"/>
        <v>16295.999999999996</v>
      </c>
      <c r="M22" s="344">
        <f t="shared" si="7"/>
        <v>39793.455082505985</v>
      </c>
      <c r="N22" s="345">
        <f t="shared" si="7"/>
        <v>145485.94156139353</v>
      </c>
      <c r="O22" s="346">
        <f t="shared" si="7"/>
        <v>53750.924791004749</v>
      </c>
      <c r="P22" s="344">
        <f t="shared" si="7"/>
        <v>361874.66108250601</v>
      </c>
      <c r="Q22" s="345">
        <f t="shared" si="7"/>
        <v>940060.35356139345</v>
      </c>
      <c r="R22" s="346">
        <f t="shared" si="7"/>
        <v>272425.32679100474</v>
      </c>
      <c r="S22" s="552">
        <f t="shared" si="7"/>
        <v>1258090.02</v>
      </c>
      <c r="T22" s="345">
        <f>+K22+L22</f>
        <v>77240</v>
      </c>
      <c r="U22" s="345">
        <f>+M22+N22+O22</f>
        <v>239030.32143490424</v>
      </c>
      <c r="V22" s="348">
        <f>+SUM(V15:V21)</f>
        <v>1574360.3414349041</v>
      </c>
    </row>
    <row r="23" spans="2:23" s="190" customFormat="1" ht="31.5" customHeight="1" thickBot="1">
      <c r="B23" s="194"/>
      <c r="C23" s="194"/>
      <c r="D23" s="194"/>
      <c r="E23" s="194"/>
      <c r="F23" s="195"/>
      <c r="G23" s="196"/>
      <c r="H23" s="196"/>
      <c r="I23" s="196"/>
      <c r="J23" s="196"/>
      <c r="K23" s="196"/>
      <c r="L23" s="196"/>
      <c r="M23" s="196"/>
      <c r="N23" s="196"/>
      <c r="O23" s="196"/>
      <c r="P23" s="196"/>
      <c r="Q23" s="196"/>
      <c r="R23" s="196"/>
      <c r="S23" s="196"/>
      <c r="T23" s="196"/>
      <c r="U23" s="196"/>
      <c r="V23" s="195"/>
    </row>
    <row r="24" spans="2:23" s="137" customFormat="1" ht="31.5" customHeight="1" thickBot="1">
      <c r="B24" s="1022" t="s">
        <v>138</v>
      </c>
      <c r="C24" s="1023"/>
      <c r="D24" s="1023"/>
      <c r="E24" s="1024"/>
      <c r="F24" s="189"/>
      <c r="G24" s="189"/>
      <c r="H24" s="228"/>
      <c r="I24" s="228"/>
      <c r="J24" s="228"/>
      <c r="K24" s="228"/>
      <c r="L24" s="228"/>
      <c r="M24" s="229"/>
      <c r="N24" s="229"/>
      <c r="O24" s="190"/>
      <c r="P24" s="230"/>
      <c r="Q24" s="190"/>
      <c r="R24" s="190"/>
      <c r="S24" s="228"/>
      <c r="T24" s="230"/>
      <c r="U24" s="190"/>
      <c r="V24" s="190"/>
      <c r="W24" s="190"/>
    </row>
    <row r="25" spans="2:23" s="137" customFormat="1" ht="31.5" customHeight="1" thickBot="1">
      <c r="B25" s="197"/>
      <c r="C25" s="197"/>
      <c r="D25" s="197"/>
      <c r="E25" s="197"/>
      <c r="F25" s="189"/>
      <c r="G25" s="189"/>
      <c r="H25" s="228"/>
      <c r="I25" s="228"/>
      <c r="J25" s="228"/>
      <c r="K25" s="228"/>
      <c r="L25" s="228"/>
      <c r="M25" s="229"/>
      <c r="N25" s="229"/>
      <c r="O25" s="190"/>
      <c r="P25" s="230"/>
      <c r="Q25" s="190"/>
      <c r="R25" s="190"/>
      <c r="S25" s="228"/>
      <c r="T25" s="230"/>
      <c r="U25" s="190"/>
      <c r="V25" s="190"/>
      <c r="W25" s="190"/>
    </row>
    <row r="26" spans="2:23" s="137" customFormat="1" ht="39.6" customHeight="1" thickBot="1">
      <c r="B26" s="1025" t="s">
        <v>1</v>
      </c>
      <c r="C26" s="1026"/>
      <c r="D26" s="1026"/>
      <c r="E26" s="1026"/>
      <c r="F26" s="351">
        <v>2020</v>
      </c>
      <c r="G26" s="351">
        <v>2021</v>
      </c>
      <c r="H26" s="352">
        <v>2022</v>
      </c>
      <c r="I26" s="228"/>
      <c r="J26" s="228"/>
      <c r="K26" s="228"/>
      <c r="L26" s="228"/>
      <c r="M26" s="229"/>
      <c r="N26" s="229"/>
      <c r="O26" s="190"/>
      <c r="P26" s="190"/>
      <c r="Q26" s="190"/>
      <c r="R26" s="190"/>
      <c r="S26" s="190"/>
      <c r="T26" s="190"/>
      <c r="U26" s="190"/>
      <c r="V26" s="190"/>
      <c r="W26" s="190"/>
    </row>
    <row r="27" spans="2:23" s="137" customFormat="1" ht="30.95" customHeight="1" thickBot="1">
      <c r="B27" s="1004" t="s">
        <v>138</v>
      </c>
      <c r="C27" s="1005"/>
      <c r="D27" s="1005"/>
      <c r="E27" s="1005"/>
      <c r="F27" s="353">
        <f>+(1+'3-DONNEE DE BASE'!D26)*(1+'3-DONNEE DE BASE'!D27)</f>
        <v>1.123551</v>
      </c>
      <c r="G27" s="353">
        <f>+F27*(1+'[2]2-DONNEES DE BASE'!E37)*(1+'3-DONNEE DE BASE'!D27)</f>
        <v>1.1830992029999998</v>
      </c>
      <c r="H27" s="353">
        <f>+G27*(1+'[2]2-DONNEES DE BASE'!E37)*(1+'3-DONNEE DE BASE'!D27)</f>
        <v>1.2458034607589998</v>
      </c>
      <c r="I27" s="264"/>
      <c r="J27" s="229"/>
      <c r="K27" s="229"/>
      <c r="L27" s="229"/>
      <c r="M27" s="229"/>
      <c r="N27" s="229"/>
      <c r="O27" s="190"/>
      <c r="P27" s="190"/>
      <c r="Q27" s="190"/>
      <c r="R27" s="190"/>
      <c r="S27" s="190"/>
      <c r="T27" s="190"/>
      <c r="U27" s="190"/>
      <c r="V27" s="190"/>
      <c r="W27" s="190"/>
    </row>
    <row r="28" spans="2:23" ht="15.75" thickBot="1">
      <c r="B28" s="191"/>
      <c r="C28" s="191"/>
      <c r="D28" s="191"/>
      <c r="E28" s="192"/>
      <c r="F28" s="193"/>
      <c r="G28" s="193"/>
      <c r="H28" s="193"/>
    </row>
    <row r="29" spans="2:23" ht="45.95" customHeight="1" thickBot="1">
      <c r="B29" s="987" t="s">
        <v>180</v>
      </c>
      <c r="C29" s="988"/>
      <c r="D29" s="988"/>
      <c r="E29" s="988"/>
      <c r="F29" s="988"/>
      <c r="G29" s="988"/>
      <c r="H29" s="989"/>
    </row>
    <row r="30" spans="2:23" ht="15.75" thickBot="1">
      <c r="B30" s="191"/>
      <c r="C30" s="191"/>
      <c r="D30" s="191"/>
      <c r="E30" s="192"/>
      <c r="F30" s="193"/>
      <c r="G30" s="193"/>
      <c r="H30" s="193"/>
    </row>
    <row r="31" spans="2:23" s="137" customFormat="1" ht="25.5" customHeight="1" thickBot="1">
      <c r="B31" s="905" t="s">
        <v>3</v>
      </c>
      <c r="C31" s="906"/>
      <c r="D31" s="1052"/>
      <c r="E31" s="1048" t="s">
        <v>146</v>
      </c>
      <c r="F31" s="1048" t="s">
        <v>79</v>
      </c>
      <c r="G31" s="1050" t="s">
        <v>161</v>
      </c>
      <c r="H31" s="1001" t="s">
        <v>160</v>
      </c>
      <c r="I31" s="1002"/>
      <c r="J31" s="1003"/>
      <c r="K31" s="229"/>
      <c r="L31" s="229"/>
      <c r="M31" s="229"/>
      <c r="N31" s="229"/>
      <c r="O31" s="190"/>
      <c r="P31" s="190"/>
      <c r="Q31" s="190"/>
      <c r="R31" s="190"/>
      <c r="S31" s="190"/>
      <c r="T31" s="190"/>
      <c r="U31" s="190"/>
      <c r="V31" s="190"/>
      <c r="W31" s="190"/>
    </row>
    <row r="32" spans="2:23" s="137" customFormat="1" ht="29.45" customHeight="1" thickBot="1">
      <c r="B32" s="1053"/>
      <c r="C32" s="1054"/>
      <c r="D32" s="1055"/>
      <c r="E32" s="1049"/>
      <c r="F32" s="1049"/>
      <c r="G32" s="1051"/>
      <c r="H32" s="354">
        <v>2020</v>
      </c>
      <c r="I32" s="355">
        <f>+H32+1</f>
        <v>2021</v>
      </c>
      <c r="J32" s="356">
        <f>+I32+1</f>
        <v>2022</v>
      </c>
      <c r="K32" s="229"/>
      <c r="L32" s="229"/>
      <c r="M32" s="229"/>
      <c r="N32" s="229"/>
      <c r="O32" s="190"/>
      <c r="P32" s="190"/>
      <c r="Q32" s="190"/>
      <c r="R32" s="190"/>
      <c r="S32" s="190"/>
      <c r="T32" s="190"/>
      <c r="U32" s="190"/>
      <c r="V32" s="190"/>
      <c r="W32" s="190"/>
    </row>
    <row r="33" spans="2:23" ht="29.45" customHeight="1" thickBot="1">
      <c r="B33" s="963" t="s">
        <v>140</v>
      </c>
      <c r="C33" s="964"/>
      <c r="D33" s="965"/>
      <c r="E33" s="357" t="s">
        <v>147</v>
      </c>
      <c r="F33" s="409">
        <f>+'3-DONNEE DE BASE'!D62</f>
        <v>1</v>
      </c>
      <c r="G33" s="358">
        <f>+V15</f>
        <v>227519.07749999998</v>
      </c>
      <c r="H33" s="359">
        <f>+P15*F33</f>
        <v>227519.07749999998</v>
      </c>
      <c r="I33" s="360">
        <f>+Q15</f>
        <v>0</v>
      </c>
      <c r="J33" s="361">
        <f>+R15</f>
        <v>0</v>
      </c>
      <c r="K33" s="33"/>
      <c r="L33" s="33"/>
      <c r="M33" s="33"/>
      <c r="N33" s="33"/>
      <c r="O33" s="231"/>
    </row>
    <row r="34" spans="2:23" ht="15.6" customHeight="1">
      <c r="B34" s="957" t="s">
        <v>139</v>
      </c>
      <c r="C34" s="958"/>
      <c r="D34" s="959"/>
      <c r="E34" s="362" t="s">
        <v>78</v>
      </c>
      <c r="F34" s="363">
        <f>+'3-DONNEE DE BASE'!D60</f>
        <v>0.5</v>
      </c>
      <c r="G34" s="364">
        <f>+G36*F34</f>
        <v>11375.953874999999</v>
      </c>
      <c r="H34" s="365">
        <f>+H36*F34</f>
        <v>11375.953874999999</v>
      </c>
      <c r="I34" s="366">
        <v>0</v>
      </c>
      <c r="J34" s="367">
        <v>0</v>
      </c>
      <c r="K34" s="33"/>
    </row>
    <row r="35" spans="2:23" ht="18" customHeight="1">
      <c r="B35" s="960"/>
      <c r="C35" s="961"/>
      <c r="D35" s="962"/>
      <c r="E35" s="368" t="s">
        <v>85</v>
      </c>
      <c r="F35" s="363">
        <f>+'3-DONNEE DE BASE'!D61</f>
        <v>0.5</v>
      </c>
      <c r="G35" s="364">
        <f>+G36*F35</f>
        <v>11375.953874999999</v>
      </c>
      <c r="H35" s="365">
        <f>+H36*F35</f>
        <v>11375.953874999999</v>
      </c>
      <c r="I35" s="366">
        <v>0</v>
      </c>
      <c r="J35" s="367">
        <v>0</v>
      </c>
      <c r="K35" s="33"/>
    </row>
    <row r="36" spans="2:23" ht="17.100000000000001" customHeight="1" thickBot="1">
      <c r="B36" s="963"/>
      <c r="C36" s="964"/>
      <c r="D36" s="965"/>
      <c r="E36" s="369" t="s">
        <v>84</v>
      </c>
      <c r="F36" s="370">
        <f>+F35+F34</f>
        <v>1</v>
      </c>
      <c r="G36" s="371">
        <f>+V16</f>
        <v>22751.907749999998</v>
      </c>
      <c r="H36" s="372">
        <f>+P16</f>
        <v>22751.907749999998</v>
      </c>
      <c r="I36" s="373">
        <f>+Q16</f>
        <v>0</v>
      </c>
      <c r="J36" s="374">
        <f>+R16</f>
        <v>0</v>
      </c>
      <c r="K36" s="33"/>
      <c r="L36" s="33"/>
    </row>
    <row r="37" spans="2:23" ht="14.45" customHeight="1">
      <c r="B37" s="957" t="s">
        <v>143</v>
      </c>
      <c r="C37" s="958"/>
      <c r="D37" s="959"/>
      <c r="E37" s="375" t="s">
        <v>78</v>
      </c>
      <c r="F37" s="376">
        <f>+'3-DONNEE DE BASE'!D54</f>
        <v>0.4</v>
      </c>
      <c r="G37" s="377">
        <f>+F37*G39</f>
        <v>417039.25102766784</v>
      </c>
      <c r="H37" s="378">
        <v>0</v>
      </c>
      <c r="I37" s="379">
        <f>+I39*F37</f>
        <v>330132.00160511996</v>
      </c>
      <c r="J37" s="367">
        <f>+J39*F37</f>
        <v>86907.249422547815</v>
      </c>
      <c r="K37" s="33"/>
    </row>
    <row r="38" spans="2:23" ht="15.75">
      <c r="B38" s="960"/>
      <c r="C38" s="961"/>
      <c r="D38" s="962"/>
      <c r="E38" s="380" t="s">
        <v>86</v>
      </c>
      <c r="F38" s="376">
        <f>+'3-DONNEE DE BASE'!D55</f>
        <v>0.6</v>
      </c>
      <c r="G38" s="377">
        <f>+F38*G39</f>
        <v>625558.87654150173</v>
      </c>
      <c r="H38" s="378">
        <v>0</v>
      </c>
      <c r="I38" s="379">
        <f>+I39*F38</f>
        <v>495198.00240767986</v>
      </c>
      <c r="J38" s="367">
        <f>+J39*F38</f>
        <v>130360.87413382172</v>
      </c>
      <c r="K38" s="33"/>
    </row>
    <row r="39" spans="2:23" ht="16.5" thickBot="1">
      <c r="B39" s="963"/>
      <c r="C39" s="964"/>
      <c r="D39" s="965"/>
      <c r="E39" s="381" t="s">
        <v>5</v>
      </c>
      <c r="F39" s="382">
        <f>+F38+F37</f>
        <v>1</v>
      </c>
      <c r="G39" s="383">
        <f>+V17</f>
        <v>1042598.1275691695</v>
      </c>
      <c r="H39" s="384">
        <f>+P17</f>
        <v>0</v>
      </c>
      <c r="I39" s="385">
        <f>+Q17</f>
        <v>825330.00401279982</v>
      </c>
      <c r="J39" s="374">
        <f>+R17</f>
        <v>217268.12355636954</v>
      </c>
      <c r="K39" s="33"/>
      <c r="L39" s="33"/>
    </row>
    <row r="40" spans="2:23" ht="25.5" customHeight="1">
      <c r="B40" s="957" t="s">
        <v>155</v>
      </c>
      <c r="C40" s="958"/>
      <c r="D40" s="959"/>
      <c r="E40" s="386" t="s">
        <v>78</v>
      </c>
      <c r="F40" s="376">
        <f>+'3-DONNEE DE BASE'!D56</f>
        <v>0.4</v>
      </c>
      <c r="G40" s="377">
        <f>+F40*G42</f>
        <v>31335.334549693573</v>
      </c>
      <c r="H40" s="378">
        <v>0</v>
      </c>
      <c r="I40" s="379">
        <f>+I42*F40</f>
        <v>24805.331129779195</v>
      </c>
      <c r="J40" s="367">
        <f>+J42*F40</f>
        <v>6530.003419914372</v>
      </c>
      <c r="K40" s="33"/>
    </row>
    <row r="41" spans="2:23" ht="14.45" customHeight="1">
      <c r="B41" s="960"/>
      <c r="C41" s="961"/>
      <c r="D41" s="962"/>
      <c r="E41" s="380" t="s">
        <v>81</v>
      </c>
      <c r="F41" s="376">
        <f>+'3-DONNEE DE BASE'!D57</f>
        <v>0.6</v>
      </c>
      <c r="G41" s="387">
        <f>+F41*G42</f>
        <v>47003.001824540355</v>
      </c>
      <c r="H41" s="378">
        <v>0</v>
      </c>
      <c r="I41" s="379">
        <f>+I42*F41</f>
        <v>37207.996694668793</v>
      </c>
      <c r="J41" s="367">
        <f>+J42*F41</f>
        <v>9795.0051298715571</v>
      </c>
      <c r="K41" s="33"/>
    </row>
    <row r="42" spans="2:23" ht="16.5" thickBot="1">
      <c r="B42" s="963"/>
      <c r="C42" s="964"/>
      <c r="D42" s="965"/>
      <c r="E42" s="381" t="s">
        <v>80</v>
      </c>
      <c r="F42" s="388">
        <f>+F41+F40</f>
        <v>1</v>
      </c>
      <c r="G42" s="389">
        <f>+V18</f>
        <v>78338.336374233928</v>
      </c>
      <c r="H42" s="384">
        <f>+P18</f>
        <v>0</v>
      </c>
      <c r="I42" s="385">
        <f>+Q18</f>
        <v>62013.327824447988</v>
      </c>
      <c r="J42" s="374">
        <f>+R18</f>
        <v>16325.008549785929</v>
      </c>
      <c r="K42" s="33"/>
    </row>
    <row r="43" spans="2:23" ht="27" customHeight="1">
      <c r="B43" s="957" t="s">
        <v>141</v>
      </c>
      <c r="C43" s="958"/>
      <c r="D43" s="959"/>
      <c r="E43" s="375" t="s">
        <v>6</v>
      </c>
      <c r="F43" s="390">
        <f>+'3-DONNEE DE BASE'!D58</f>
        <v>0.4</v>
      </c>
      <c r="G43" s="387">
        <f>+F43*G45</f>
        <v>21738.613060327363</v>
      </c>
      <c r="H43" s="378">
        <v>0</v>
      </c>
      <c r="I43" s="379">
        <f>+I45*F43</f>
        <v>8427.4522428095988</v>
      </c>
      <c r="J43" s="367">
        <f>+J45*F43</f>
        <v>13311.160817517763</v>
      </c>
      <c r="K43" s="33"/>
    </row>
    <row r="44" spans="2:23" ht="15.75">
      <c r="B44" s="960"/>
      <c r="C44" s="961"/>
      <c r="D44" s="962"/>
      <c r="E44" s="391" t="s">
        <v>67</v>
      </c>
      <c r="F44" s="390">
        <f>+'3-DONNEE DE BASE'!D59</f>
        <v>0.6</v>
      </c>
      <c r="G44" s="387">
        <f>+F44*G45</f>
        <v>32607.919590491038</v>
      </c>
      <c r="H44" s="378">
        <v>0</v>
      </c>
      <c r="I44" s="379">
        <f>+I45*F44</f>
        <v>12641.178364214396</v>
      </c>
      <c r="J44" s="367">
        <f>+J45*F44</f>
        <v>19966.741226276641</v>
      </c>
      <c r="K44" s="33"/>
    </row>
    <row r="45" spans="2:23" ht="16.5" thickBot="1">
      <c r="B45" s="963"/>
      <c r="C45" s="964"/>
      <c r="D45" s="965"/>
      <c r="E45" s="392" t="s">
        <v>5</v>
      </c>
      <c r="F45" s="393">
        <f>+F44+F43</f>
        <v>1</v>
      </c>
      <c r="G45" s="394">
        <f>+V19</f>
        <v>54346.532650818401</v>
      </c>
      <c r="H45" s="395">
        <f t="shared" ref="H45:J47" si="8">+P19</f>
        <v>0</v>
      </c>
      <c r="I45" s="396">
        <f t="shared" si="8"/>
        <v>21068.630607023995</v>
      </c>
      <c r="J45" s="374">
        <f t="shared" si="8"/>
        <v>33277.902043794405</v>
      </c>
      <c r="K45" s="33"/>
    </row>
    <row r="46" spans="2:23" s="137" customFormat="1" ht="32.450000000000003" customHeight="1" thickBot="1">
      <c r="B46" s="1083" t="s">
        <v>122</v>
      </c>
      <c r="C46" s="1084"/>
      <c r="D46" s="1085"/>
      <c r="E46" s="357" t="s">
        <v>147</v>
      </c>
      <c r="F46" s="410">
        <f>+'3-DONNEE DE BASE'!D62</f>
        <v>1</v>
      </c>
      <c r="G46" s="397">
        <f>+V20</f>
        <v>96575.949756000002</v>
      </c>
      <c r="H46" s="398">
        <f t="shared" si="8"/>
        <v>96575.949756000002</v>
      </c>
      <c r="I46" s="399">
        <f t="shared" si="8"/>
        <v>0</v>
      </c>
      <c r="J46" s="400">
        <f t="shared" si="8"/>
        <v>0</v>
      </c>
      <c r="K46" s="33"/>
      <c r="L46" s="229"/>
      <c r="M46" s="229"/>
      <c r="N46" s="229"/>
      <c r="O46" s="190"/>
      <c r="P46" s="190"/>
      <c r="Q46" s="190"/>
      <c r="R46" s="190"/>
      <c r="S46" s="190"/>
      <c r="T46" s="190"/>
      <c r="U46" s="190"/>
      <c r="V46" s="190"/>
      <c r="W46" s="190"/>
    </row>
    <row r="47" spans="2:23" ht="21" customHeight="1" thickBot="1">
      <c r="B47" s="1086" t="s">
        <v>123</v>
      </c>
      <c r="C47" s="1087"/>
      <c r="D47" s="1088"/>
      <c r="E47" s="401" t="s">
        <v>147</v>
      </c>
      <c r="F47" s="411">
        <f>+'3-DONNEE DE BASE'!D62</f>
        <v>1</v>
      </c>
      <c r="G47" s="402">
        <f>+V21</f>
        <v>52230.409834682476</v>
      </c>
      <c r="H47" s="403">
        <f t="shared" si="8"/>
        <v>15027.726076505998</v>
      </c>
      <c r="I47" s="404">
        <f t="shared" si="8"/>
        <v>31648.391117121628</v>
      </c>
      <c r="J47" s="405">
        <f t="shared" si="8"/>
        <v>5554.292641054848</v>
      </c>
      <c r="K47" s="33"/>
    </row>
    <row r="48" spans="2:23" s="202" customFormat="1" ht="35.1" customHeight="1" thickBot="1">
      <c r="B48" s="984" t="s">
        <v>172</v>
      </c>
      <c r="C48" s="985"/>
      <c r="D48" s="986"/>
      <c r="E48" s="406"/>
      <c r="F48" s="407"/>
      <c r="G48" s="408">
        <f>+G47+G46+G45+G42+G39+G36+G33</f>
        <v>1574360.3414349044</v>
      </c>
      <c r="H48" s="412">
        <f>+H47+H46+H45+H42+H39+H36+H33</f>
        <v>361874.66108250595</v>
      </c>
      <c r="I48" s="412">
        <f>+I47+I46+I45+I42+I39+I36+I33</f>
        <v>940060.35356139345</v>
      </c>
      <c r="J48" s="412">
        <f>+J47+J46+J45+J42+J39+J36+J33</f>
        <v>272425.32679100474</v>
      </c>
      <c r="K48" s="234"/>
      <c r="L48" s="233"/>
      <c r="M48" s="234"/>
      <c r="N48" s="234"/>
      <c r="O48" s="232"/>
      <c r="P48" s="232"/>
      <c r="Q48" s="232"/>
      <c r="R48" s="232"/>
      <c r="S48" s="232"/>
      <c r="T48" s="232"/>
      <c r="U48" s="232"/>
      <c r="V48" s="232"/>
      <c r="W48" s="232"/>
    </row>
    <row r="49" spans="1:23" s="202" customFormat="1" ht="35.1" customHeight="1" thickBot="1">
      <c r="A49" s="139"/>
      <c r="B49" s="201"/>
      <c r="C49" s="201"/>
      <c r="D49" s="201"/>
      <c r="E49" s="203"/>
      <c r="F49" s="200"/>
      <c r="G49" s="199"/>
      <c r="H49" s="1065">
        <f>+H48+I48+J48</f>
        <v>1574360.3414349041</v>
      </c>
      <c r="I49" s="1066"/>
      <c r="J49" s="1067"/>
      <c r="K49" s="234"/>
      <c r="L49" s="234"/>
      <c r="M49" s="234"/>
      <c r="N49" s="234"/>
      <c r="O49" s="232"/>
      <c r="P49" s="232"/>
      <c r="Q49" s="232"/>
      <c r="R49" s="232"/>
      <c r="S49" s="232"/>
      <c r="T49" s="232"/>
      <c r="U49" s="232"/>
      <c r="V49" s="232"/>
      <c r="W49" s="232"/>
    </row>
    <row r="50" spans="1:23" s="202" customFormat="1" ht="35.1" customHeight="1" thickBot="1">
      <c r="A50" s="139"/>
      <c r="B50" s="201"/>
      <c r="C50" s="201"/>
      <c r="D50" s="201"/>
      <c r="E50" s="203"/>
      <c r="F50" s="200"/>
      <c r="G50" s="199"/>
      <c r="H50" s="235"/>
      <c r="I50" s="195"/>
      <c r="J50" s="234"/>
      <c r="K50" s="234"/>
      <c r="L50" s="234"/>
      <c r="M50" s="234"/>
      <c r="N50" s="234"/>
      <c r="O50" s="232"/>
      <c r="P50" s="232"/>
      <c r="Q50" s="232"/>
      <c r="R50" s="232"/>
      <c r="S50" s="232"/>
      <c r="T50" s="232"/>
      <c r="U50" s="232"/>
      <c r="V50" s="232"/>
      <c r="W50" s="232"/>
    </row>
    <row r="51" spans="1:23" s="202" customFormat="1" ht="18.95" customHeight="1">
      <c r="A51" s="139"/>
      <c r="B51" s="978" t="s">
        <v>181</v>
      </c>
      <c r="C51" s="979"/>
      <c r="D51" s="979"/>
      <c r="E51" s="979"/>
      <c r="F51" s="979"/>
      <c r="G51" s="979"/>
      <c r="H51" s="980"/>
      <c r="I51" s="195"/>
      <c r="J51" s="234"/>
      <c r="K51" s="234"/>
      <c r="L51" s="234"/>
      <c r="M51" s="234"/>
      <c r="N51" s="234"/>
      <c r="O51" s="232"/>
      <c r="P51" s="232"/>
      <c r="Q51" s="232"/>
      <c r="R51" s="232"/>
      <c r="S51" s="232"/>
      <c r="T51" s="232"/>
      <c r="U51" s="232"/>
      <c r="V51" s="232"/>
      <c r="W51" s="232"/>
    </row>
    <row r="52" spans="1:23" s="202" customFormat="1" ht="15" customHeight="1" thickBot="1">
      <c r="A52" s="139"/>
      <c r="B52" s="981"/>
      <c r="C52" s="982"/>
      <c r="D52" s="982"/>
      <c r="E52" s="982"/>
      <c r="F52" s="982"/>
      <c r="G52" s="982"/>
      <c r="H52" s="983"/>
      <c r="I52" s="195"/>
      <c r="J52" s="234"/>
      <c r="K52" s="234"/>
      <c r="L52" s="234"/>
      <c r="M52" s="234"/>
      <c r="N52" s="234"/>
      <c r="O52" s="232"/>
      <c r="P52" s="232"/>
      <c r="Q52" s="232"/>
      <c r="R52" s="232"/>
      <c r="S52" s="232"/>
      <c r="T52" s="232"/>
      <c r="U52" s="232"/>
      <c r="V52" s="232"/>
      <c r="W52" s="232"/>
    </row>
    <row r="53" spans="1:23" s="202" customFormat="1" ht="15" customHeight="1">
      <c r="A53" s="139"/>
      <c r="B53" s="204"/>
      <c r="C53" s="204"/>
      <c r="D53" s="204"/>
      <c r="E53" s="204"/>
      <c r="F53" s="204"/>
      <c r="G53" s="225"/>
      <c r="H53" s="235"/>
      <c r="I53" s="195"/>
      <c r="J53" s="234"/>
      <c r="K53" s="234"/>
      <c r="L53" s="233"/>
      <c r="M53" s="234"/>
      <c r="N53" s="234"/>
      <c r="O53" s="232"/>
      <c r="P53" s="232"/>
      <c r="Q53" s="232"/>
      <c r="R53" s="232"/>
      <c r="S53" s="232"/>
      <c r="T53" s="232"/>
      <c r="U53" s="232"/>
      <c r="V53" s="232"/>
      <c r="W53" s="232"/>
    </row>
    <row r="54" spans="1:23" s="202" customFormat="1" ht="15" customHeight="1" thickBot="1">
      <c r="A54" s="139"/>
      <c r="B54" s="204"/>
      <c r="C54" s="204"/>
      <c r="D54" s="204"/>
      <c r="F54" s="204"/>
      <c r="G54" s="199"/>
      <c r="H54" s="235"/>
      <c r="I54" s="195"/>
      <c r="J54" s="234"/>
      <c r="K54" s="234"/>
      <c r="L54" s="234"/>
      <c r="M54" s="234"/>
      <c r="N54" s="234"/>
      <c r="O54" s="232"/>
      <c r="P54" s="232"/>
      <c r="Q54" s="232"/>
      <c r="R54" s="232"/>
      <c r="S54" s="232"/>
      <c r="T54" s="232"/>
      <c r="U54" s="232"/>
      <c r="V54" s="232"/>
      <c r="W54" s="232"/>
    </row>
    <row r="55" spans="1:23" s="202" customFormat="1" ht="34.5" customHeight="1" thickBot="1">
      <c r="A55" s="139"/>
      <c r="B55" s="966" t="s">
        <v>173</v>
      </c>
      <c r="C55" s="967"/>
      <c r="D55" s="968"/>
      <c r="E55" s="990" t="s">
        <v>148</v>
      </c>
      <c r="F55" s="992" t="s">
        <v>149</v>
      </c>
      <c r="G55" s="994" t="s">
        <v>15</v>
      </c>
      <c r="H55" s="996" t="s">
        <v>175</v>
      </c>
      <c r="I55" s="1079" t="s">
        <v>400</v>
      </c>
      <c r="J55" s="1079"/>
      <c r="K55" s="1080"/>
      <c r="L55" s="1078" t="s">
        <v>176</v>
      </c>
      <c r="M55" s="1079"/>
      <c r="N55" s="1080"/>
      <c r="O55" s="232"/>
      <c r="P55" s="232"/>
      <c r="Q55" s="232"/>
      <c r="R55" s="232"/>
      <c r="S55" s="232"/>
      <c r="T55" s="232"/>
      <c r="U55" s="232"/>
      <c r="V55" s="232"/>
      <c r="W55" s="232"/>
    </row>
    <row r="56" spans="1:23" s="202" customFormat="1" ht="54" customHeight="1" thickBot="1">
      <c r="A56" s="139"/>
      <c r="B56" s="969"/>
      <c r="C56" s="970"/>
      <c r="D56" s="971"/>
      <c r="E56" s="991"/>
      <c r="F56" s="993"/>
      <c r="G56" s="995"/>
      <c r="H56" s="997"/>
      <c r="I56" s="560">
        <v>2020</v>
      </c>
      <c r="J56" s="408">
        <f>+I56+1</f>
        <v>2021</v>
      </c>
      <c r="K56" s="408">
        <f>+J56+1</f>
        <v>2022</v>
      </c>
      <c r="L56" s="560">
        <v>2020</v>
      </c>
      <c r="M56" s="560">
        <f>+L56+1</f>
        <v>2021</v>
      </c>
      <c r="N56" s="560">
        <f>+M56+1</f>
        <v>2022</v>
      </c>
      <c r="O56" s="232"/>
      <c r="P56" s="232"/>
      <c r="Q56" s="232"/>
      <c r="R56" s="232"/>
      <c r="S56" s="232"/>
      <c r="T56" s="232"/>
      <c r="U56" s="232"/>
      <c r="V56" s="232"/>
      <c r="W56" s="232"/>
    </row>
    <row r="57" spans="1:23" ht="20.45" customHeight="1" thickBot="1">
      <c r="B57" s="969"/>
      <c r="C57" s="970"/>
      <c r="D57" s="971"/>
      <c r="E57" s="561" t="s">
        <v>78</v>
      </c>
      <c r="F57" s="562">
        <f>+G34+G37+G40</f>
        <v>459750.53945236141</v>
      </c>
      <c r="G57" s="563">
        <f>+'3-DONNEE DE BASE'!E63</f>
        <v>0.8</v>
      </c>
      <c r="H57" s="564">
        <f t="shared" ref="H57:H63" si="9">+G57*F57</f>
        <v>367800.43156188913</v>
      </c>
      <c r="I57" s="565">
        <f>+H34+H37+H40</f>
        <v>11375.953874999999</v>
      </c>
      <c r="J57" s="566">
        <f>+I34+I37+I40</f>
        <v>354937.33273489913</v>
      </c>
      <c r="K57" s="361">
        <f>+J34+J37+J40</f>
        <v>93437.252842462185</v>
      </c>
      <c r="L57" s="567">
        <f>+I57*G57</f>
        <v>9100.7631000000001</v>
      </c>
      <c r="M57" s="568">
        <f>+J57*G57</f>
        <v>283949.86618791934</v>
      </c>
      <c r="N57" s="569">
        <f>+K57*G57</f>
        <v>74749.802273969748</v>
      </c>
    </row>
    <row r="58" spans="1:23" s="24" customFormat="1" ht="20.45" customHeight="1" thickBot="1">
      <c r="B58" s="969"/>
      <c r="C58" s="970"/>
      <c r="D58" s="971"/>
      <c r="E58" s="570" t="s">
        <v>85</v>
      </c>
      <c r="F58" s="571">
        <f>+G35+G43</f>
        <v>33114.566935327362</v>
      </c>
      <c r="G58" s="572">
        <f>+'3-DONNEE DE BASE'!E65</f>
        <v>2.2400000000000002</v>
      </c>
      <c r="H58" s="573">
        <f t="shared" si="9"/>
        <v>74176.6299351333</v>
      </c>
      <c r="I58" s="395">
        <f>+H35+H43</f>
        <v>11375.953874999999</v>
      </c>
      <c r="J58" s="396">
        <f>+I43</f>
        <v>8427.4522428095988</v>
      </c>
      <c r="K58" s="374">
        <f>+J35+J43</f>
        <v>13311.160817517763</v>
      </c>
      <c r="L58" s="567">
        <f t="shared" ref="L58:L63" si="10">+I58*G58</f>
        <v>25482.13668</v>
      </c>
      <c r="M58" s="568">
        <f t="shared" ref="M58:M63" si="11">+J58*G58</f>
        <v>18877.493023893505</v>
      </c>
      <c r="N58" s="569">
        <f t="shared" ref="N58:N63" si="12">+K58*G58</f>
        <v>29817.000231239792</v>
      </c>
      <c r="O58" s="236"/>
      <c r="P58" s="236"/>
      <c r="Q58" s="236"/>
      <c r="R58" s="236"/>
      <c r="S58" s="236"/>
      <c r="T58" s="236"/>
      <c r="U58" s="236"/>
      <c r="V58" s="236"/>
      <c r="W58" s="236"/>
    </row>
    <row r="59" spans="1:23" ht="18" customHeight="1" thickBot="1">
      <c r="B59" s="969"/>
      <c r="C59" s="970"/>
      <c r="D59" s="971"/>
      <c r="E59" s="381" t="s">
        <v>86</v>
      </c>
      <c r="F59" s="571">
        <f>+G38</f>
        <v>625558.87654150173</v>
      </c>
      <c r="G59" s="572">
        <f>+'3-DONNEE DE BASE'!E64</f>
        <v>0.84</v>
      </c>
      <c r="H59" s="573">
        <f t="shared" si="9"/>
        <v>525469.45629486139</v>
      </c>
      <c r="I59" s="395">
        <f>+H38</f>
        <v>0</v>
      </c>
      <c r="J59" s="396">
        <f>+I38</f>
        <v>495198.00240767986</v>
      </c>
      <c r="K59" s="374">
        <f>+J38</f>
        <v>130360.87413382172</v>
      </c>
      <c r="L59" s="567">
        <f t="shared" si="10"/>
        <v>0</v>
      </c>
      <c r="M59" s="568">
        <f t="shared" si="11"/>
        <v>415966.32202245109</v>
      </c>
      <c r="N59" s="569">
        <f t="shared" si="12"/>
        <v>109503.13427241024</v>
      </c>
    </row>
    <row r="60" spans="1:23" s="180" customFormat="1" ht="23.45" customHeight="1" thickBot="1">
      <c r="B60" s="969"/>
      <c r="C60" s="970"/>
      <c r="D60" s="971"/>
      <c r="E60" s="381" t="s">
        <v>87</v>
      </c>
      <c r="F60" s="574">
        <f>+G41</f>
        <v>47003.001824540355</v>
      </c>
      <c r="G60" s="575">
        <f>+'3-DONNEE DE BASE'!E64</f>
        <v>0.84</v>
      </c>
      <c r="H60" s="576">
        <f t="shared" si="9"/>
        <v>39482.5215326139</v>
      </c>
      <c r="I60" s="342">
        <f>+H41</f>
        <v>0</v>
      </c>
      <c r="J60" s="340">
        <f>+I41</f>
        <v>37207.996694668793</v>
      </c>
      <c r="K60" s="341">
        <f>+J41</f>
        <v>9795.0051298715571</v>
      </c>
      <c r="L60" s="567">
        <f t="shared" si="10"/>
        <v>0</v>
      </c>
      <c r="M60" s="568">
        <f t="shared" si="11"/>
        <v>31254.717223521784</v>
      </c>
      <c r="N60" s="569">
        <f t="shared" si="12"/>
        <v>8227.8043090921074</v>
      </c>
      <c r="O60" s="190"/>
      <c r="P60" s="190"/>
      <c r="Q60" s="190"/>
      <c r="R60" s="190"/>
      <c r="S60" s="190"/>
      <c r="T60" s="190"/>
      <c r="U60" s="190"/>
      <c r="V60" s="190"/>
      <c r="W60" s="190"/>
    </row>
    <row r="61" spans="1:23" s="180" customFormat="1" ht="23.45" customHeight="1" thickBot="1">
      <c r="A61" s="198"/>
      <c r="B61" s="969"/>
      <c r="C61" s="970"/>
      <c r="D61" s="971"/>
      <c r="E61" s="577" t="s">
        <v>67</v>
      </c>
      <c r="F61" s="574">
        <f>+G44</f>
        <v>32607.919590491038</v>
      </c>
      <c r="G61" s="575">
        <f>+'3-DONNEE DE BASE'!E64</f>
        <v>0.84</v>
      </c>
      <c r="H61" s="576">
        <f t="shared" si="9"/>
        <v>27390.652456012471</v>
      </c>
      <c r="I61" s="342">
        <f>+H44</f>
        <v>0</v>
      </c>
      <c r="J61" s="340">
        <f>+I44</f>
        <v>12641.178364214396</v>
      </c>
      <c r="K61" s="341">
        <f>+J44</f>
        <v>19966.741226276641</v>
      </c>
      <c r="L61" s="567">
        <f t="shared" si="10"/>
        <v>0</v>
      </c>
      <c r="M61" s="568">
        <f t="shared" si="11"/>
        <v>10618.589825940093</v>
      </c>
      <c r="N61" s="569">
        <f t="shared" si="12"/>
        <v>16772.062630072378</v>
      </c>
      <c r="O61" s="190"/>
      <c r="P61" s="190"/>
      <c r="Q61" s="190"/>
      <c r="R61" s="190"/>
      <c r="S61" s="190"/>
      <c r="T61" s="190"/>
      <c r="U61" s="190"/>
      <c r="V61" s="190"/>
      <c r="W61" s="190"/>
    </row>
    <row r="62" spans="1:23" s="180" customFormat="1" ht="23.45" customHeight="1" thickBot="1">
      <c r="A62" s="198"/>
      <c r="B62" s="969"/>
      <c r="C62" s="970"/>
      <c r="D62" s="971"/>
      <c r="E62" s="578" t="s">
        <v>144</v>
      </c>
      <c r="F62" s="571">
        <f>+G33</f>
        <v>227519.07749999998</v>
      </c>
      <c r="G62" s="575">
        <f>+'3-DONNEE DE BASE'!E67</f>
        <v>1</v>
      </c>
      <c r="H62" s="576">
        <f t="shared" si="9"/>
        <v>227519.07749999998</v>
      </c>
      <c r="I62" s="342">
        <f>+H33</f>
        <v>227519.07749999998</v>
      </c>
      <c r="J62" s="340">
        <f>+I33</f>
        <v>0</v>
      </c>
      <c r="K62" s="341">
        <f>+J33</f>
        <v>0</v>
      </c>
      <c r="L62" s="567">
        <f t="shared" si="10"/>
        <v>227519.07749999998</v>
      </c>
      <c r="M62" s="568">
        <f t="shared" si="11"/>
        <v>0</v>
      </c>
      <c r="N62" s="569">
        <f t="shared" si="12"/>
        <v>0</v>
      </c>
      <c r="O62" s="190"/>
      <c r="P62" s="190"/>
      <c r="Q62" s="190"/>
      <c r="R62" s="190"/>
      <c r="S62" s="190"/>
      <c r="T62" s="190"/>
      <c r="U62" s="190"/>
      <c r="V62" s="190"/>
      <c r="W62" s="190"/>
    </row>
    <row r="63" spans="1:23" s="180" customFormat="1" ht="23.45" customHeight="1">
      <c r="A63" s="198"/>
      <c r="B63" s="969"/>
      <c r="C63" s="970"/>
      <c r="D63" s="971"/>
      <c r="E63" s="578" t="s">
        <v>145</v>
      </c>
      <c r="F63" s="574">
        <f>+G46+G47</f>
        <v>148806.35959068249</v>
      </c>
      <c r="G63" s="575">
        <f>+'3-DONNEE DE BASE'!E66</f>
        <v>0.89</v>
      </c>
      <c r="H63" s="576">
        <f t="shared" si="9"/>
        <v>132437.66003570741</v>
      </c>
      <c r="I63" s="342">
        <f>+H46+H47</f>
        <v>111603.67583250601</v>
      </c>
      <c r="J63" s="340">
        <f>+I47+I46</f>
        <v>31648.391117121628</v>
      </c>
      <c r="K63" s="341">
        <f>+J46+J47</f>
        <v>5554.292641054848</v>
      </c>
      <c r="L63" s="567">
        <f t="shared" si="10"/>
        <v>99327.271490930347</v>
      </c>
      <c r="M63" s="568">
        <f t="shared" si="11"/>
        <v>28167.06809423825</v>
      </c>
      <c r="N63" s="569">
        <f t="shared" si="12"/>
        <v>4943.3204505388148</v>
      </c>
      <c r="O63" s="190"/>
      <c r="P63" s="190"/>
      <c r="Q63" s="190"/>
      <c r="R63" s="190"/>
      <c r="S63" s="190"/>
      <c r="T63" s="190"/>
      <c r="U63" s="190"/>
      <c r="V63" s="190"/>
      <c r="W63" s="190"/>
    </row>
    <row r="64" spans="1:23" s="180" customFormat="1" ht="23.45" customHeight="1" thickBot="1">
      <c r="A64" s="198"/>
      <c r="B64" s="972"/>
      <c r="C64" s="973"/>
      <c r="D64" s="974"/>
      <c r="E64" s="579" t="s">
        <v>150</v>
      </c>
      <c r="F64" s="580">
        <f>+SUM(F57:F63)</f>
        <v>1574360.3414349044</v>
      </c>
      <c r="G64" s="581"/>
      <c r="H64" s="582">
        <f t="shared" ref="H64:N64" si="13">+SUM(H57:H63)</f>
        <v>1394276.4293162175</v>
      </c>
      <c r="I64" s="583">
        <f t="shared" si="13"/>
        <v>361874.66108250595</v>
      </c>
      <c r="J64" s="584">
        <f t="shared" si="13"/>
        <v>940060.35356139333</v>
      </c>
      <c r="K64" s="400">
        <f t="shared" si="13"/>
        <v>272425.32679100474</v>
      </c>
      <c r="L64" s="585">
        <f t="shared" si="13"/>
        <v>361429.24877093034</v>
      </c>
      <c r="M64" s="586">
        <f t="shared" si="13"/>
        <v>788834.05637796409</v>
      </c>
      <c r="N64" s="582">
        <f t="shared" si="13"/>
        <v>244013.12416732311</v>
      </c>
      <c r="O64" s="190"/>
      <c r="P64" s="190"/>
      <c r="Q64" s="190"/>
      <c r="R64" s="190"/>
      <c r="S64" s="190"/>
      <c r="T64" s="190"/>
      <c r="U64" s="190"/>
      <c r="V64" s="190"/>
      <c r="W64" s="190"/>
    </row>
    <row r="65" spans="2:23" ht="16.5" thickBot="1">
      <c r="B65" s="423"/>
      <c r="C65" s="423"/>
      <c r="D65" s="423"/>
      <c r="E65" s="423"/>
      <c r="F65" s="587"/>
      <c r="G65" s="587"/>
      <c r="H65" s="588"/>
      <c r="I65" s="1071">
        <f>+I64+J64+K64</f>
        <v>1574360.3414349039</v>
      </c>
      <c r="J65" s="1072"/>
      <c r="K65" s="1073"/>
      <c r="L65" s="1071">
        <f>+L64+M64+N64</f>
        <v>1394276.4293162175</v>
      </c>
      <c r="M65" s="1081"/>
      <c r="N65" s="1082"/>
    </row>
    <row r="66" spans="2:23" ht="15.75" thickBot="1"/>
    <row r="67" spans="2:23" ht="14.45" customHeight="1">
      <c r="B67" s="978" t="s">
        <v>401</v>
      </c>
      <c r="C67" s="979"/>
      <c r="D67" s="979"/>
      <c r="E67" s="979"/>
      <c r="F67" s="979"/>
      <c r="G67" s="979"/>
      <c r="H67" s="980"/>
      <c r="L67" s="33"/>
    </row>
    <row r="68" spans="2:23" ht="21.6" customHeight="1" thickBot="1">
      <c r="B68" s="981"/>
      <c r="C68" s="982"/>
      <c r="D68" s="982"/>
      <c r="E68" s="982"/>
      <c r="F68" s="982"/>
      <c r="G68" s="982"/>
      <c r="H68" s="983"/>
    </row>
    <row r="70" spans="2:23" ht="15.75" thickBot="1"/>
    <row r="71" spans="2:23" ht="32.25" thickBot="1">
      <c r="B71" s="905" t="s">
        <v>153</v>
      </c>
      <c r="C71" s="906"/>
      <c r="D71" s="1052"/>
      <c r="E71" s="420" t="s">
        <v>146</v>
      </c>
      <c r="F71" s="589" t="s">
        <v>79</v>
      </c>
      <c r="G71" s="590" t="s">
        <v>0</v>
      </c>
      <c r="H71" s="591" t="s">
        <v>15</v>
      </c>
      <c r="I71" s="635" t="s">
        <v>402</v>
      </c>
      <c r="M71" s="33"/>
    </row>
    <row r="72" spans="2:23" s="137" customFormat="1" ht="19.5" customHeight="1" thickBot="1">
      <c r="B72" s="1074" t="s">
        <v>140</v>
      </c>
      <c r="C72" s="1075"/>
      <c r="D72" s="1076"/>
      <c r="E72" s="401" t="s">
        <v>147</v>
      </c>
      <c r="F72" s="407">
        <v>1</v>
      </c>
      <c r="G72" s="592">
        <f>+G33</f>
        <v>227519.07749999998</v>
      </c>
      <c r="H72" s="593">
        <f>+'3-DONNEE DE BASE'!E67</f>
        <v>1</v>
      </c>
      <c r="I72" s="421">
        <f>+H72*G72</f>
        <v>227519.07749999998</v>
      </c>
      <c r="J72" s="229"/>
      <c r="K72" s="229"/>
      <c r="L72" s="229"/>
      <c r="M72" s="229"/>
      <c r="N72" s="229"/>
      <c r="O72" s="190"/>
      <c r="P72" s="190"/>
      <c r="Q72" s="190"/>
      <c r="R72" s="190"/>
      <c r="S72" s="190"/>
      <c r="T72" s="190"/>
      <c r="U72" s="190"/>
      <c r="V72" s="190"/>
      <c r="W72" s="190"/>
    </row>
    <row r="73" spans="2:23" ht="16.5" customHeight="1">
      <c r="B73" s="1056" t="s">
        <v>139</v>
      </c>
      <c r="C73" s="1057"/>
      <c r="D73" s="1058"/>
      <c r="E73" s="362" t="s">
        <v>78</v>
      </c>
      <c r="F73" s="594">
        <f>+F34</f>
        <v>0.5</v>
      </c>
      <c r="G73" s="595">
        <f>+F73*G75</f>
        <v>11375.953874999999</v>
      </c>
      <c r="H73" s="596">
        <f>+'3-DONNEE DE BASE'!E63</f>
        <v>0.8</v>
      </c>
      <c r="I73" s="597">
        <f>+H73*G73</f>
        <v>9100.7631000000001</v>
      </c>
    </row>
    <row r="74" spans="2:23" ht="17.100000000000001" customHeight="1">
      <c r="B74" s="1059"/>
      <c r="C74" s="1060"/>
      <c r="D74" s="1061"/>
      <c r="E74" s="368" t="s">
        <v>85</v>
      </c>
      <c r="F74" s="598">
        <f>+F35</f>
        <v>0.5</v>
      </c>
      <c r="G74" s="599">
        <f>+F74*G75</f>
        <v>11375.953874999999</v>
      </c>
      <c r="H74" s="600">
        <f>+'3-DONNEE DE BASE'!E65</f>
        <v>2.2400000000000002</v>
      </c>
      <c r="I74" s="601">
        <f>+H74*G74</f>
        <v>25482.13668</v>
      </c>
    </row>
    <row r="75" spans="2:23" ht="18.600000000000001" customHeight="1" thickBot="1">
      <c r="B75" s="1062"/>
      <c r="C75" s="1063"/>
      <c r="D75" s="1064"/>
      <c r="E75" s="602" t="s">
        <v>84</v>
      </c>
      <c r="F75" s="603">
        <f>+F74+F73</f>
        <v>1</v>
      </c>
      <c r="G75" s="581">
        <f>+G36</f>
        <v>22751.907749999998</v>
      </c>
      <c r="H75" s="604"/>
      <c r="I75" s="605">
        <f>+I74+I73</f>
        <v>34582.89978</v>
      </c>
      <c r="J75" s="1077"/>
      <c r="K75" s="1077"/>
      <c r="L75" s="1077"/>
    </row>
    <row r="76" spans="2:23" ht="22.5" customHeight="1">
      <c r="B76" s="957" t="s">
        <v>143</v>
      </c>
      <c r="C76" s="958"/>
      <c r="D76" s="959"/>
      <c r="E76" s="606" t="s">
        <v>78</v>
      </c>
      <c r="F76" s="607">
        <f>+F37</f>
        <v>0.4</v>
      </c>
      <c r="G76" s="608">
        <f>+G78*F76</f>
        <v>417039.25102766784</v>
      </c>
      <c r="H76" s="596">
        <f>+'3-DONNEE DE BASE'!E63</f>
        <v>0.8</v>
      </c>
      <c r="I76" s="597">
        <f>+H76*G76</f>
        <v>333631.40082213428</v>
      </c>
      <c r="J76" s="1077"/>
      <c r="K76" s="1077"/>
      <c r="L76" s="1077"/>
    </row>
    <row r="77" spans="2:23" ht="18.95" customHeight="1">
      <c r="B77" s="960"/>
      <c r="C77" s="961"/>
      <c r="D77" s="962"/>
      <c r="E77" s="380" t="s">
        <v>86</v>
      </c>
      <c r="F77" s="376">
        <f>+F38</f>
        <v>0.6</v>
      </c>
      <c r="G77" s="387">
        <f>+G78*F77</f>
        <v>625558.87654150173</v>
      </c>
      <c r="H77" s="600">
        <f>+'3-DONNEE DE BASE'!E64</f>
        <v>0.84</v>
      </c>
      <c r="I77" s="601">
        <f>+H77*G77</f>
        <v>525469.45629486139</v>
      </c>
      <c r="J77" s="1077"/>
      <c r="K77" s="1077"/>
      <c r="L77" s="1077"/>
    </row>
    <row r="78" spans="2:23" s="137" customFormat="1" ht="18.95" customHeight="1" thickBot="1">
      <c r="B78" s="963"/>
      <c r="C78" s="964"/>
      <c r="D78" s="965"/>
      <c r="E78" s="609" t="s">
        <v>5</v>
      </c>
      <c r="F78" s="610">
        <f>+F77+F76</f>
        <v>1</v>
      </c>
      <c r="G78" s="611">
        <f>+G39</f>
        <v>1042598.1275691695</v>
      </c>
      <c r="H78" s="612"/>
      <c r="I78" s="613">
        <f>+I77+I76</f>
        <v>859100.85711699561</v>
      </c>
      <c r="J78" s="1077"/>
      <c r="K78" s="1077"/>
      <c r="L78" s="1077"/>
      <c r="M78" s="229"/>
      <c r="N78" s="229"/>
      <c r="O78" s="190"/>
      <c r="P78" s="190"/>
      <c r="Q78" s="190"/>
      <c r="R78" s="190"/>
      <c r="S78" s="190"/>
      <c r="T78" s="190"/>
      <c r="U78" s="190"/>
      <c r="V78" s="190"/>
      <c r="W78" s="190"/>
    </row>
    <row r="79" spans="2:23" ht="18.95" customHeight="1">
      <c r="B79" s="957" t="s">
        <v>142</v>
      </c>
      <c r="C79" s="958"/>
      <c r="D79" s="959"/>
      <c r="E79" s="614" t="s">
        <v>78</v>
      </c>
      <c r="F79" s="607">
        <f>+F40</f>
        <v>0.4</v>
      </c>
      <c r="G79" s="608">
        <f>+F79*G81</f>
        <v>31335.334549693573</v>
      </c>
      <c r="H79" s="596">
        <f>+'3-DONNEE DE BASE'!E63</f>
        <v>0.8</v>
      </c>
      <c r="I79" s="597">
        <f>+H79*G79</f>
        <v>25068.26763975486</v>
      </c>
      <c r="J79" s="206"/>
      <c r="K79" s="282"/>
      <c r="L79" s="206"/>
    </row>
    <row r="80" spans="2:23" ht="18.600000000000001" customHeight="1">
      <c r="B80" s="960"/>
      <c r="C80" s="961"/>
      <c r="D80" s="962"/>
      <c r="E80" s="380" t="s">
        <v>235</v>
      </c>
      <c r="F80" s="376">
        <f>+F41</f>
        <v>0.6</v>
      </c>
      <c r="G80" s="387">
        <f>+F80*G81</f>
        <v>47003.001824540355</v>
      </c>
      <c r="H80" s="600">
        <f>+'3-DONNEE DE BASE'!E64</f>
        <v>0.84</v>
      </c>
      <c r="I80" s="601">
        <f>+H80*G80</f>
        <v>39482.5215326139</v>
      </c>
      <c r="J80" s="206"/>
      <c r="K80" s="282"/>
      <c r="L80" s="206"/>
    </row>
    <row r="81" spans="2:23" ht="21.95" customHeight="1" thickBot="1">
      <c r="B81" s="963"/>
      <c r="C81" s="964"/>
      <c r="D81" s="965"/>
      <c r="E81" s="609" t="s">
        <v>80</v>
      </c>
      <c r="F81" s="615">
        <f>+F80+F79</f>
        <v>1</v>
      </c>
      <c r="G81" s="611">
        <f>+G42</f>
        <v>78338.336374233928</v>
      </c>
      <c r="H81" s="604"/>
      <c r="I81" s="605">
        <f>+I80+I79</f>
        <v>64550.789172368764</v>
      </c>
      <c r="J81" s="237"/>
      <c r="K81" s="282"/>
      <c r="L81" s="237"/>
    </row>
    <row r="82" spans="2:23" s="137" customFormat="1" ht="21.95" customHeight="1">
      <c r="B82" s="957" t="s">
        <v>141</v>
      </c>
      <c r="C82" s="958"/>
      <c r="D82" s="959"/>
      <c r="E82" s="606" t="s">
        <v>6</v>
      </c>
      <c r="F82" s="616">
        <f>+F43</f>
        <v>0.4</v>
      </c>
      <c r="G82" s="617">
        <f>+G84*F82</f>
        <v>21738.613060327363</v>
      </c>
      <c r="H82" s="618">
        <f>+'3-DONNEE DE BASE'!E65</f>
        <v>2.2400000000000002</v>
      </c>
      <c r="I82" s="619">
        <f>+H82*G82</f>
        <v>48694.493255133297</v>
      </c>
      <c r="J82" s="196"/>
      <c r="K82" s="413"/>
      <c r="L82" s="196"/>
      <c r="M82" s="229"/>
      <c r="N82" s="229"/>
      <c r="O82" s="190"/>
      <c r="P82" s="190"/>
      <c r="Q82" s="190"/>
      <c r="R82" s="190"/>
      <c r="S82" s="190"/>
      <c r="T82" s="190"/>
      <c r="U82" s="190"/>
      <c r="V82" s="190"/>
      <c r="W82" s="190"/>
    </row>
    <row r="83" spans="2:23" s="137" customFormat="1" ht="20.100000000000001" customHeight="1">
      <c r="B83" s="960"/>
      <c r="C83" s="961"/>
      <c r="D83" s="962"/>
      <c r="E83" s="391" t="s">
        <v>67</v>
      </c>
      <c r="F83" s="390">
        <f>+F44</f>
        <v>0.6</v>
      </c>
      <c r="G83" s="387">
        <f>+G84*F83</f>
        <v>32607.919590491038</v>
      </c>
      <c r="H83" s="620">
        <f>+'3-DONNEE DE BASE'!E64</f>
        <v>0.84</v>
      </c>
      <c r="I83" s="621">
        <f>+H83*G83</f>
        <v>27390.652456012471</v>
      </c>
      <c r="J83" s="196"/>
      <c r="K83" s="413"/>
      <c r="L83" s="196"/>
      <c r="M83" s="229"/>
      <c r="N83" s="229"/>
      <c r="O83" s="190"/>
      <c r="P83" s="190"/>
      <c r="Q83" s="190"/>
      <c r="R83" s="190"/>
      <c r="S83" s="190"/>
      <c r="T83" s="190"/>
      <c r="U83" s="190"/>
      <c r="V83" s="190"/>
      <c r="W83" s="190"/>
    </row>
    <row r="84" spans="2:23" s="137" customFormat="1" ht="21" customHeight="1" thickBot="1">
      <c r="B84" s="963"/>
      <c r="C84" s="964"/>
      <c r="D84" s="965"/>
      <c r="E84" s="622" t="s">
        <v>5</v>
      </c>
      <c r="F84" s="603">
        <f>+F83+F82</f>
        <v>1</v>
      </c>
      <c r="G84" s="581">
        <f>+G45</f>
        <v>54346.532650818401</v>
      </c>
      <c r="H84" s="612"/>
      <c r="I84" s="613">
        <f>+I83+I82</f>
        <v>76085.145711145771</v>
      </c>
      <c r="J84" s="195"/>
      <c r="K84" s="413"/>
      <c r="L84" s="414"/>
      <c r="M84" s="229"/>
      <c r="N84" s="229"/>
      <c r="O84" s="190"/>
      <c r="P84" s="190"/>
      <c r="Q84" s="190"/>
      <c r="R84" s="190"/>
      <c r="S84" s="190"/>
      <c r="T84" s="190"/>
      <c r="U84" s="190"/>
      <c r="V84" s="190"/>
      <c r="W84" s="190"/>
    </row>
    <row r="85" spans="2:23" ht="36" customHeight="1" thickBot="1">
      <c r="B85" s="1068" t="s">
        <v>122</v>
      </c>
      <c r="C85" s="1069"/>
      <c r="D85" s="1070"/>
      <c r="E85" s="401" t="s">
        <v>147</v>
      </c>
      <c r="F85" s="407">
        <f>+F46</f>
        <v>1</v>
      </c>
      <c r="G85" s="592">
        <f>+G46*F85</f>
        <v>96575.949756000002</v>
      </c>
      <c r="H85" s="623">
        <f>+'3-DONNEE DE BASE'!E66</f>
        <v>0.89</v>
      </c>
      <c r="I85" s="624">
        <f>+H85*G85</f>
        <v>85952.595282840004</v>
      </c>
      <c r="J85" s="97"/>
      <c r="K85" s="97"/>
      <c r="L85" s="97"/>
    </row>
    <row r="86" spans="2:23" ht="16.5" thickBot="1">
      <c r="B86" s="969" t="s">
        <v>123</v>
      </c>
      <c r="C86" s="970"/>
      <c r="D86" s="971"/>
      <c r="E86" s="625" t="s">
        <v>147</v>
      </c>
      <c r="F86" s="626">
        <f>+F47</f>
        <v>1</v>
      </c>
      <c r="G86" s="627">
        <f>+G47*F86</f>
        <v>52230.409834682476</v>
      </c>
      <c r="H86" s="628">
        <f>+'3-DONNEE DE BASE'!E66</f>
        <v>0.89</v>
      </c>
      <c r="I86" s="629">
        <f>+H86*G86</f>
        <v>46485.064752867402</v>
      </c>
    </row>
    <row r="87" spans="2:23" s="137" customFormat="1" ht="21.6" customHeight="1" thickBot="1">
      <c r="B87" s="998" t="s">
        <v>34</v>
      </c>
      <c r="C87" s="999"/>
      <c r="D87" s="1000"/>
      <c r="E87" s="630"/>
      <c r="F87" s="631"/>
      <c r="G87" s="632">
        <f>+G86+G85+G84+G81+G78+G75+G72</f>
        <v>1574360.3414349044</v>
      </c>
      <c r="H87" s="633"/>
      <c r="I87" s="634">
        <f>+I86+I85+I84+I81+I78+I75+I72</f>
        <v>1394276.4293162175</v>
      </c>
      <c r="J87" s="229"/>
      <c r="K87" s="229"/>
      <c r="L87" s="229"/>
      <c r="M87" s="229"/>
      <c r="N87" s="229"/>
      <c r="O87" s="190"/>
      <c r="P87" s="190"/>
      <c r="Q87" s="190"/>
      <c r="R87" s="190"/>
      <c r="S87" s="190"/>
      <c r="T87" s="190"/>
      <c r="U87" s="190"/>
      <c r="V87" s="190"/>
      <c r="W87" s="190"/>
    </row>
    <row r="89" spans="2:23" ht="15.75" thickBot="1"/>
    <row r="90" spans="2:23">
      <c r="B90" s="978" t="s">
        <v>403</v>
      </c>
      <c r="C90" s="979"/>
      <c r="D90" s="979"/>
      <c r="E90" s="979"/>
      <c r="F90" s="980"/>
    </row>
    <row r="91" spans="2:23" ht="15.75" thickBot="1">
      <c r="B91" s="981"/>
      <c r="C91" s="982"/>
      <c r="D91" s="982"/>
      <c r="E91" s="982"/>
      <c r="F91" s="983"/>
    </row>
    <row r="93" spans="2:23" ht="15.75" thickBot="1"/>
    <row r="94" spans="2:23" ht="51.6" customHeight="1" thickBot="1">
      <c r="B94" s="905" t="s">
        <v>153</v>
      </c>
      <c r="C94" s="906"/>
      <c r="D94" s="1052"/>
      <c r="E94" s="1094" t="s">
        <v>146</v>
      </c>
      <c r="F94" s="1094" t="s">
        <v>79</v>
      </c>
      <c r="G94" s="1096" t="s">
        <v>0</v>
      </c>
      <c r="H94" s="1098" t="s">
        <v>15</v>
      </c>
      <c r="I94" s="1098" t="s">
        <v>404</v>
      </c>
      <c r="J94" s="1092" t="s">
        <v>405</v>
      </c>
      <c r="K94" s="1093"/>
      <c r="L94" s="1093"/>
    </row>
    <row r="95" spans="2:23" ht="21" customHeight="1" thickBot="1">
      <c r="B95" s="1053"/>
      <c r="C95" s="1054"/>
      <c r="D95" s="1055"/>
      <c r="E95" s="1095"/>
      <c r="F95" s="1095"/>
      <c r="G95" s="1097"/>
      <c r="H95" s="1099"/>
      <c r="I95" s="1099"/>
      <c r="J95" s="636">
        <v>2027</v>
      </c>
      <c r="K95" s="636">
        <v>2032</v>
      </c>
      <c r="L95" s="636">
        <v>2037</v>
      </c>
    </row>
    <row r="96" spans="2:23" ht="14.45" customHeight="1">
      <c r="B96" s="957" t="s">
        <v>177</v>
      </c>
      <c r="C96" s="958"/>
      <c r="D96" s="959"/>
      <c r="E96" s="637" t="s">
        <v>78</v>
      </c>
      <c r="F96" s="638">
        <f>+F40</f>
        <v>0.4</v>
      </c>
      <c r="G96" s="639">
        <f>+G98*F96</f>
        <v>24960</v>
      </c>
      <c r="H96" s="640">
        <f>+'3-DONNEE DE BASE'!E63</f>
        <v>0.8</v>
      </c>
      <c r="I96" s="641">
        <f>+H96*G96</f>
        <v>19968</v>
      </c>
      <c r="J96" s="642"/>
      <c r="K96" s="642"/>
      <c r="L96" s="642"/>
    </row>
    <row r="97" spans="2:23" ht="15.75">
      <c r="B97" s="960"/>
      <c r="C97" s="961"/>
      <c r="D97" s="962"/>
      <c r="E97" s="381" t="s">
        <v>87</v>
      </c>
      <c r="F97" s="393">
        <f>+F41</f>
        <v>0.6</v>
      </c>
      <c r="G97" s="643">
        <f>+G98*F97</f>
        <v>37440</v>
      </c>
      <c r="H97" s="644">
        <f>+'3-DONNEE DE BASE'!E64</f>
        <v>0.84</v>
      </c>
      <c r="I97" s="573">
        <f>+H97*G97</f>
        <v>31449.599999999999</v>
      </c>
      <c r="J97" s="642"/>
      <c r="K97" s="642"/>
      <c r="L97" s="642"/>
    </row>
    <row r="98" spans="2:23" ht="16.5" thickBot="1">
      <c r="B98" s="963"/>
      <c r="C98" s="964"/>
      <c r="D98" s="965"/>
      <c r="E98" s="645" t="s">
        <v>80</v>
      </c>
      <c r="F98" s="393">
        <f>+F97+F96</f>
        <v>1</v>
      </c>
      <c r="G98" s="571">
        <f>+F18</f>
        <v>62400</v>
      </c>
      <c r="H98" s="642"/>
      <c r="I98" s="573">
        <f>+I97+I96</f>
        <v>51417.599999999999</v>
      </c>
      <c r="J98" s="642"/>
      <c r="K98" s="573">
        <f>+I98*(1+'3-DONNEE DE BASE'!D28)^10</f>
        <v>83753.852361791782</v>
      </c>
      <c r="L98" s="642"/>
    </row>
    <row r="99" spans="2:23" ht="15.75">
      <c r="B99" s="957" t="s">
        <v>178</v>
      </c>
      <c r="C99" s="958"/>
      <c r="D99" s="959"/>
      <c r="E99" s="646" t="str">
        <f>+E82</f>
        <v>Equipements importés</v>
      </c>
      <c r="F99" s="393">
        <f>+F43</f>
        <v>0.4</v>
      </c>
      <c r="G99" s="643">
        <f>+G101*F99</f>
        <v>16960</v>
      </c>
      <c r="H99" s="644">
        <f>+'3-DONNEE DE BASE'!E65</f>
        <v>2.2400000000000002</v>
      </c>
      <c r="I99" s="573">
        <f>+H99*G99</f>
        <v>37990.400000000001</v>
      </c>
      <c r="J99" s="642"/>
      <c r="K99" s="642"/>
      <c r="L99" s="642"/>
    </row>
    <row r="100" spans="2:23" ht="15.75">
      <c r="B100" s="960"/>
      <c r="C100" s="961"/>
      <c r="D100" s="962"/>
      <c r="E100" s="381" t="str">
        <f>+E83</f>
        <v>Equipements locaux</v>
      </c>
      <c r="F100" s="393">
        <f>+F44</f>
        <v>0.6</v>
      </c>
      <c r="G100" s="643">
        <f>+G101*F100</f>
        <v>25440</v>
      </c>
      <c r="H100" s="644">
        <f>+'3-DONNEE DE BASE'!E64</f>
        <v>0.84</v>
      </c>
      <c r="I100" s="573">
        <f>+H100*G100</f>
        <v>21369.599999999999</v>
      </c>
      <c r="J100" s="642"/>
      <c r="K100" s="642"/>
      <c r="L100" s="642"/>
    </row>
    <row r="101" spans="2:23" ht="33" customHeight="1">
      <c r="B101" s="960"/>
      <c r="C101" s="961"/>
      <c r="D101" s="962"/>
      <c r="E101" s="647" t="s">
        <v>80</v>
      </c>
      <c r="F101" s="648">
        <f>+F100+F99</f>
        <v>1</v>
      </c>
      <c r="G101" s="649">
        <f>+F19</f>
        <v>42400</v>
      </c>
      <c r="H101" s="650"/>
      <c r="I101" s="651">
        <f>+I100+I99</f>
        <v>59360</v>
      </c>
      <c r="J101" s="651">
        <f>+I101*(1+'3-DONNEE DE BASE'!D28)^5</f>
        <v>75760.073550000001</v>
      </c>
      <c r="K101" s="651">
        <f>+I101*(1+'3-DONNEE DE BASE'!D28)^10</f>
        <v>96691.18504550893</v>
      </c>
      <c r="L101" s="652">
        <f>+I101*(1+'3-DONNEE DE BASE'!D28)^15</f>
        <v>123405.17672985879</v>
      </c>
    </row>
    <row r="102" spans="2:23" s="137" customFormat="1" ht="24.6" customHeight="1" thickBot="1">
      <c r="B102" s="1089" t="s">
        <v>34</v>
      </c>
      <c r="C102" s="1090"/>
      <c r="D102" s="1091"/>
      <c r="E102" s="653"/>
      <c r="F102" s="654"/>
      <c r="G102" s="655">
        <f>+G101+G98</f>
        <v>104800</v>
      </c>
      <c r="H102" s="656"/>
      <c r="I102" s="613">
        <f>+I98+I101</f>
        <v>110777.60000000001</v>
      </c>
      <c r="J102" s="580">
        <f>+SUM(J96:J101)</f>
        <v>75760.073550000001</v>
      </c>
      <c r="K102" s="580">
        <f t="shared" ref="K102:L102" si="14">+SUM(K96:K101)</f>
        <v>180445.03740730073</v>
      </c>
      <c r="L102" s="580">
        <f t="shared" si="14"/>
        <v>123405.17672985879</v>
      </c>
      <c r="M102" s="229"/>
      <c r="N102" s="229"/>
      <c r="O102" s="190"/>
      <c r="P102" s="190"/>
      <c r="Q102" s="190"/>
      <c r="R102" s="190"/>
      <c r="S102" s="190"/>
      <c r="T102" s="190"/>
      <c r="U102" s="190"/>
      <c r="V102" s="190"/>
      <c r="W102" s="190"/>
    </row>
  </sheetData>
  <mergeCells count="71">
    <mergeCell ref="B102:D102"/>
    <mergeCell ref="J94:L94"/>
    <mergeCell ref="E94:E95"/>
    <mergeCell ref="F94:F95"/>
    <mergeCell ref="G94:G95"/>
    <mergeCell ref="H94:H95"/>
    <mergeCell ref="I94:I95"/>
    <mergeCell ref="B94:D95"/>
    <mergeCell ref="L55:N55"/>
    <mergeCell ref="L65:N65"/>
    <mergeCell ref="B34:D36"/>
    <mergeCell ref="B37:D39"/>
    <mergeCell ref="B46:D46"/>
    <mergeCell ref="B47:D47"/>
    <mergeCell ref="I55:K55"/>
    <mergeCell ref="B76:D78"/>
    <mergeCell ref="B79:D81"/>
    <mergeCell ref="B82:D84"/>
    <mergeCell ref="B85:D85"/>
    <mergeCell ref="I65:K65"/>
    <mergeCell ref="B72:D72"/>
    <mergeCell ref="J75:L76"/>
    <mergeCell ref="J77:J78"/>
    <mergeCell ref="K77:K78"/>
    <mergeCell ref="L77:L78"/>
    <mergeCell ref="B71:D71"/>
    <mergeCell ref="F31:F32"/>
    <mergeCell ref="G31:G32"/>
    <mergeCell ref="E31:E32"/>
    <mergeCell ref="B31:D32"/>
    <mergeCell ref="B73:D75"/>
    <mergeCell ref="B43:D45"/>
    <mergeCell ref="B33:D33"/>
    <mergeCell ref="B51:H52"/>
    <mergeCell ref="B67:H68"/>
    <mergeCell ref="H49:J49"/>
    <mergeCell ref="B40:D42"/>
    <mergeCell ref="B24:E24"/>
    <mergeCell ref="B26:E26"/>
    <mergeCell ref="B22:E22"/>
    <mergeCell ref="B11:D11"/>
    <mergeCell ref="B15:E15"/>
    <mergeCell ref="B16:E16"/>
    <mergeCell ref="B17:E17"/>
    <mergeCell ref="B18:E18"/>
    <mergeCell ref="B13:E14"/>
    <mergeCell ref="M13:O13"/>
    <mergeCell ref="P13:R13"/>
    <mergeCell ref="S13:V13"/>
    <mergeCell ref="F13:F14"/>
    <mergeCell ref="B21:E21"/>
    <mergeCell ref="J13:L13"/>
    <mergeCell ref="G13:I13"/>
    <mergeCell ref="B19:E19"/>
    <mergeCell ref="B20:E20"/>
    <mergeCell ref="B4:H6"/>
    <mergeCell ref="B96:D98"/>
    <mergeCell ref="B99:D101"/>
    <mergeCell ref="B55:D64"/>
    <mergeCell ref="B9:H9"/>
    <mergeCell ref="B90:F91"/>
    <mergeCell ref="B48:D48"/>
    <mergeCell ref="B29:H29"/>
    <mergeCell ref="E55:E56"/>
    <mergeCell ref="F55:F56"/>
    <mergeCell ref="G55:G56"/>
    <mergeCell ref="H55:H56"/>
    <mergeCell ref="B86:D86"/>
    <mergeCell ref="B87:D87"/>
    <mergeCell ref="H31:J31"/>
    <mergeCell ref="B27:E2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dimension ref="B3:G32"/>
  <sheetViews>
    <sheetView workbookViewId="0">
      <selection activeCell="B8" sqref="B8:F8"/>
    </sheetView>
  </sheetViews>
  <sheetFormatPr baseColWidth="10" defaultRowHeight="15"/>
  <cols>
    <col min="2" max="2" width="19.42578125" style="246" customWidth="1"/>
    <col min="3" max="3" width="15.85546875" style="240" customWidth="1"/>
    <col min="4" max="4" width="15.42578125" style="240" customWidth="1"/>
    <col min="5" max="5" width="15" style="240" customWidth="1"/>
    <col min="6" max="6" width="25.85546875" style="261" customWidth="1"/>
  </cols>
  <sheetData>
    <row r="3" spans="2:7" ht="15.75" thickBot="1"/>
    <row r="4" spans="2:7" ht="14.45" customHeight="1">
      <c r="B4" s="948" t="s">
        <v>244</v>
      </c>
      <c r="C4" s="949"/>
      <c r="D4" s="949"/>
      <c r="E4" s="949"/>
      <c r="F4" s="950"/>
      <c r="G4" s="24"/>
    </row>
    <row r="5" spans="2:7" ht="14.45" customHeight="1">
      <c r="B5" s="951"/>
      <c r="C5" s="952"/>
      <c r="D5" s="952"/>
      <c r="E5" s="952"/>
      <c r="F5" s="953"/>
      <c r="G5" s="24"/>
    </row>
    <row r="6" spans="2:7" ht="15" customHeight="1" thickBot="1">
      <c r="B6" s="954"/>
      <c r="C6" s="955"/>
      <c r="D6" s="955"/>
      <c r="E6" s="955"/>
      <c r="F6" s="956"/>
      <c r="G6" s="24"/>
    </row>
    <row r="7" spans="2:7" ht="27" thickBot="1">
      <c r="C7" s="179"/>
      <c r="D7" s="179"/>
      <c r="E7" s="179"/>
      <c r="F7" s="179"/>
    </row>
    <row r="8" spans="2:7" ht="103.5" customHeight="1" thickBot="1">
      <c r="B8" s="1100" t="s">
        <v>469</v>
      </c>
      <c r="C8" s="1101"/>
      <c r="D8" s="1101"/>
      <c r="E8" s="1101"/>
      <c r="F8" s="1102"/>
    </row>
    <row r="10" spans="2:7" ht="15.75" thickBot="1">
      <c r="B10" s="246" t="s">
        <v>236</v>
      </c>
    </row>
    <row r="11" spans="2:7" ht="47.25">
      <c r="B11" s="658" t="s">
        <v>117</v>
      </c>
      <c r="C11" s="659" t="s">
        <v>115</v>
      </c>
      <c r="D11" s="660" t="s">
        <v>116</v>
      </c>
      <c r="E11" s="660" t="s">
        <v>7</v>
      </c>
      <c r="F11" s="661" t="s">
        <v>237</v>
      </c>
    </row>
    <row r="12" spans="2:7" ht="15.75">
      <c r="B12" s="424">
        <v>2023</v>
      </c>
      <c r="C12" s="425">
        <f>+'3-DONNEE DE BASE'!$D$90*'6-Cout économique du projet'!$I$87</f>
        <v>12548.487863845958</v>
      </c>
      <c r="D12" s="425">
        <f>+'3-DONNEE DE BASE'!$D$92*'6-Cout économique du projet'!$H$64</f>
        <v>41828.292879486522</v>
      </c>
      <c r="E12" s="425">
        <f>+'3-DONNEE DE BASE'!$D$93*'6-Cout économique du projet'!$H$64</f>
        <v>41828.292879486522</v>
      </c>
      <c r="F12" s="662">
        <f t="shared" ref="F12:F31" si="0">+SUM(C12:E12)</f>
        <v>96205.073622819007</v>
      </c>
    </row>
    <row r="13" spans="2:7" ht="15.75">
      <c r="B13" s="424">
        <f t="shared" ref="B13:B31" si="1">+B12+1</f>
        <v>2024</v>
      </c>
      <c r="C13" s="425">
        <f>+C12*(1+'3-DONNEE DE BASE'!$D$91)</f>
        <v>13175.912257038257</v>
      </c>
      <c r="D13" s="425">
        <f>+'3-DONNEE DE BASE'!$D$92*'6-Cout économique du projet'!$H$64</f>
        <v>41828.292879486522</v>
      </c>
      <c r="E13" s="425">
        <f>+'3-DONNEE DE BASE'!$D$93*'6-Cout économique du projet'!$H$64</f>
        <v>41828.292879486522</v>
      </c>
      <c r="F13" s="662">
        <f t="shared" si="0"/>
        <v>96832.49801601129</v>
      </c>
    </row>
    <row r="14" spans="2:7" ht="15.75">
      <c r="B14" s="424">
        <f t="shared" si="1"/>
        <v>2025</v>
      </c>
      <c r="C14" s="425">
        <f>+C13*(1+'3-DONNEE DE BASE'!$D$91)</f>
        <v>13834.70786989017</v>
      </c>
      <c r="D14" s="425">
        <f>+'3-DONNEE DE BASE'!$D$92*'6-Cout économique du projet'!$H$64</f>
        <v>41828.292879486522</v>
      </c>
      <c r="E14" s="425">
        <f>+'3-DONNEE DE BASE'!$D$93*'6-Cout économique du projet'!$H$64</f>
        <v>41828.292879486522</v>
      </c>
      <c r="F14" s="662">
        <f t="shared" si="0"/>
        <v>97491.293628863205</v>
      </c>
    </row>
    <row r="15" spans="2:7" ht="15.75">
      <c r="B15" s="424">
        <f t="shared" si="1"/>
        <v>2026</v>
      </c>
      <c r="C15" s="425">
        <f>+C14*(1+'3-DONNEE DE BASE'!$D$91)</f>
        <v>14526.443263384679</v>
      </c>
      <c r="D15" s="425">
        <f>+'3-DONNEE DE BASE'!$D$92*'6-Cout économique du projet'!$H$64</f>
        <v>41828.292879486522</v>
      </c>
      <c r="E15" s="425">
        <f>+'3-DONNEE DE BASE'!$D$93*'6-Cout économique du projet'!$H$64</f>
        <v>41828.292879486522</v>
      </c>
      <c r="F15" s="662">
        <f t="shared" si="0"/>
        <v>98183.029022357718</v>
      </c>
    </row>
    <row r="16" spans="2:7" ht="15.75">
      <c r="B16" s="424">
        <f t="shared" si="1"/>
        <v>2027</v>
      </c>
      <c r="C16" s="425">
        <f>+C15*(1+'3-DONNEE DE BASE'!$D$91)</f>
        <v>15252.765426553913</v>
      </c>
      <c r="D16" s="425">
        <f>+'3-DONNEE DE BASE'!$D$92*'6-Cout économique du projet'!$H$64</f>
        <v>41828.292879486522</v>
      </c>
      <c r="E16" s="425">
        <f>+'3-DONNEE DE BASE'!$D$93*'6-Cout économique du projet'!$H$64</f>
        <v>41828.292879486522</v>
      </c>
      <c r="F16" s="662">
        <f t="shared" si="0"/>
        <v>98909.351185526961</v>
      </c>
    </row>
    <row r="17" spans="2:6" ht="15.75">
      <c r="B17" s="424">
        <f t="shared" si="1"/>
        <v>2028</v>
      </c>
      <c r="C17" s="425">
        <f>+C16*(1+'3-DONNEE DE BASE'!$D$91)</f>
        <v>16015.403697881609</v>
      </c>
      <c r="D17" s="425">
        <f>+'3-DONNEE DE BASE'!$D$92*'6-Cout économique du projet'!$H$64</f>
        <v>41828.292879486522</v>
      </c>
      <c r="E17" s="425">
        <f>+'3-DONNEE DE BASE'!$D$93*'6-Cout économique du projet'!$H$64</f>
        <v>41828.292879486522</v>
      </c>
      <c r="F17" s="662">
        <f t="shared" si="0"/>
        <v>99671.989456854644</v>
      </c>
    </row>
    <row r="18" spans="2:6" ht="15.75">
      <c r="B18" s="424">
        <f t="shared" si="1"/>
        <v>2029</v>
      </c>
      <c r="C18" s="425">
        <f>+C17*(1+'3-DONNEE DE BASE'!$D$91)</f>
        <v>16816.173882775689</v>
      </c>
      <c r="D18" s="425">
        <f>+'3-DONNEE DE BASE'!$D$92*'6-Cout économique du projet'!$H$64</f>
        <v>41828.292879486522</v>
      </c>
      <c r="E18" s="425">
        <f>+'3-DONNEE DE BASE'!$D$93*'6-Cout économique du projet'!$H$64</f>
        <v>41828.292879486522</v>
      </c>
      <c r="F18" s="662">
        <f t="shared" si="0"/>
        <v>100472.75964174874</v>
      </c>
    </row>
    <row r="19" spans="2:6" ht="15.75">
      <c r="B19" s="424">
        <f t="shared" si="1"/>
        <v>2030</v>
      </c>
      <c r="C19" s="425">
        <f>+C18*(1+'3-DONNEE DE BASE'!$D$91)</f>
        <v>17656.982576914474</v>
      </c>
      <c r="D19" s="425">
        <f>+'3-DONNEE DE BASE'!$D$92*'6-Cout économique du projet'!$H$64</f>
        <v>41828.292879486522</v>
      </c>
      <c r="E19" s="425">
        <f>+'3-DONNEE DE BASE'!$D$93*'6-Cout économique du projet'!$H$64</f>
        <v>41828.292879486522</v>
      </c>
      <c r="F19" s="662">
        <f t="shared" si="0"/>
        <v>101313.56833588751</v>
      </c>
    </row>
    <row r="20" spans="2:6" ht="15.75">
      <c r="B20" s="424">
        <f t="shared" si="1"/>
        <v>2031</v>
      </c>
      <c r="C20" s="425">
        <f>+C19*(1+'3-DONNEE DE BASE'!$D$91)</f>
        <v>18539.8317057602</v>
      </c>
      <c r="D20" s="425">
        <f>+'3-DONNEE DE BASE'!$D$92*'6-Cout économique du projet'!$H$64</f>
        <v>41828.292879486522</v>
      </c>
      <c r="E20" s="425">
        <f>+'3-DONNEE DE BASE'!$D$93*'6-Cout économique du projet'!$H$64</f>
        <v>41828.292879486522</v>
      </c>
      <c r="F20" s="662">
        <f t="shared" si="0"/>
        <v>102196.41746473324</v>
      </c>
    </row>
    <row r="21" spans="2:6" ht="15.75">
      <c r="B21" s="424">
        <f t="shared" si="1"/>
        <v>2032</v>
      </c>
      <c r="C21" s="425">
        <f>+C20*(1+'3-DONNEE DE BASE'!$D$91)</f>
        <v>19466.823291048211</v>
      </c>
      <c r="D21" s="425">
        <f>+'3-DONNEE DE BASE'!$D$92*'6-Cout économique du projet'!$H$64</f>
        <v>41828.292879486522</v>
      </c>
      <c r="E21" s="425">
        <f>+'3-DONNEE DE BASE'!$D$93*'6-Cout économique du projet'!$H$64</f>
        <v>41828.292879486522</v>
      </c>
      <c r="F21" s="662">
        <f t="shared" si="0"/>
        <v>103123.40905002126</v>
      </c>
    </row>
    <row r="22" spans="2:6" ht="15.75">
      <c r="B22" s="424">
        <f t="shared" si="1"/>
        <v>2033</v>
      </c>
      <c r="C22" s="425">
        <f>+C21*(1+'3-DONNEE DE BASE'!$D$91)</f>
        <v>20440.164455600621</v>
      </c>
      <c r="D22" s="425">
        <f>+'3-DONNEE DE BASE'!$D$92*'6-Cout économique du projet'!$H$64</f>
        <v>41828.292879486522</v>
      </c>
      <c r="E22" s="425">
        <f>+'3-DONNEE DE BASE'!$D$93*'6-Cout économique du projet'!$H$64</f>
        <v>41828.292879486522</v>
      </c>
      <c r="F22" s="662">
        <f t="shared" si="0"/>
        <v>104096.75021457367</v>
      </c>
    </row>
    <row r="23" spans="2:6" ht="15.75">
      <c r="B23" s="424">
        <f t="shared" si="1"/>
        <v>2034</v>
      </c>
      <c r="C23" s="425">
        <f>+C22*(1+'3-DONNEE DE BASE'!$D$91)</f>
        <v>21462.172678380652</v>
      </c>
      <c r="D23" s="425">
        <f>+'3-DONNEE DE BASE'!$D$92*'6-Cout économique du projet'!$H$64</f>
        <v>41828.292879486522</v>
      </c>
      <c r="E23" s="425">
        <f>+'3-DONNEE DE BASE'!$D$93*'6-Cout économique du projet'!$H$64</f>
        <v>41828.292879486522</v>
      </c>
      <c r="F23" s="662">
        <f t="shared" si="0"/>
        <v>105118.7584373537</v>
      </c>
    </row>
    <row r="24" spans="2:6" ht="15.75">
      <c r="B24" s="424">
        <f t="shared" si="1"/>
        <v>2035</v>
      </c>
      <c r="C24" s="425">
        <f>+C23*(1+'3-DONNEE DE BASE'!$D$91)</f>
        <v>22535.281312299685</v>
      </c>
      <c r="D24" s="425">
        <f>+'3-DONNEE DE BASE'!$D$92*'6-Cout économique du projet'!$H$64</f>
        <v>41828.292879486522</v>
      </c>
      <c r="E24" s="425">
        <f>+'3-DONNEE DE BASE'!$D$93*'6-Cout économique du projet'!$H$64</f>
        <v>41828.292879486522</v>
      </c>
      <c r="F24" s="662">
        <f t="shared" si="0"/>
        <v>106191.86707127272</v>
      </c>
    </row>
    <row r="25" spans="2:6" ht="15.75">
      <c r="B25" s="424">
        <f t="shared" si="1"/>
        <v>2036</v>
      </c>
      <c r="C25" s="425">
        <f>+C24*(1+'3-DONNEE DE BASE'!$D$91)</f>
        <v>23662.04537791467</v>
      </c>
      <c r="D25" s="425">
        <f>+'3-DONNEE DE BASE'!$D$92*'6-Cout économique du projet'!$H$64</f>
        <v>41828.292879486522</v>
      </c>
      <c r="E25" s="425">
        <f>+'3-DONNEE DE BASE'!$D$93*'6-Cout économique du projet'!$H$64</f>
        <v>41828.292879486522</v>
      </c>
      <c r="F25" s="662">
        <f t="shared" si="0"/>
        <v>107318.63113688771</v>
      </c>
    </row>
    <row r="26" spans="2:6" ht="15.75">
      <c r="B26" s="424">
        <f t="shared" si="1"/>
        <v>2037</v>
      </c>
      <c r="C26" s="425">
        <f>+C25*(1+'3-DONNEE DE BASE'!$D$91)</f>
        <v>24845.147646810405</v>
      </c>
      <c r="D26" s="425">
        <f>+'3-DONNEE DE BASE'!$D$92*'6-Cout économique du projet'!$H$64</f>
        <v>41828.292879486522</v>
      </c>
      <c r="E26" s="425">
        <f>+'3-DONNEE DE BASE'!$D$93*'6-Cout économique du projet'!$H$64</f>
        <v>41828.292879486522</v>
      </c>
      <c r="F26" s="662">
        <f t="shared" si="0"/>
        <v>108501.73340578345</v>
      </c>
    </row>
    <row r="27" spans="2:6" ht="15.75">
      <c r="B27" s="424">
        <f t="shared" si="1"/>
        <v>2038</v>
      </c>
      <c r="C27" s="425">
        <f>+C26*(1+'3-DONNEE DE BASE'!$D$91)</f>
        <v>26087.405029150927</v>
      </c>
      <c r="D27" s="425">
        <f>+'3-DONNEE DE BASE'!$D$92*'6-Cout économique du projet'!$H$64</f>
        <v>41828.292879486522</v>
      </c>
      <c r="E27" s="425">
        <f>+'3-DONNEE DE BASE'!$D$93*'6-Cout économique du projet'!$H$64</f>
        <v>41828.292879486522</v>
      </c>
      <c r="F27" s="662">
        <f t="shared" si="0"/>
        <v>109743.99078812398</v>
      </c>
    </row>
    <row r="28" spans="2:6" ht="15.75">
      <c r="B28" s="424">
        <f t="shared" si="1"/>
        <v>2039</v>
      </c>
      <c r="C28" s="425">
        <f>+C27*(1+'3-DONNEE DE BASE'!$D$91)</f>
        <v>27391.775280608475</v>
      </c>
      <c r="D28" s="425">
        <f>+'3-DONNEE DE BASE'!$D$92*'6-Cout économique du projet'!$H$64</f>
        <v>41828.292879486522</v>
      </c>
      <c r="E28" s="425">
        <f>+'3-DONNEE DE BASE'!$D$93*'6-Cout économique du projet'!$H$64</f>
        <v>41828.292879486522</v>
      </c>
      <c r="F28" s="662">
        <f t="shared" si="0"/>
        <v>111048.3610395815</v>
      </c>
    </row>
    <row r="29" spans="2:6" ht="15.75">
      <c r="B29" s="424">
        <f t="shared" si="1"/>
        <v>2040</v>
      </c>
      <c r="C29" s="425">
        <f>+C28*(1+'3-DONNEE DE BASE'!$D$91)</f>
        <v>28761.3640446389</v>
      </c>
      <c r="D29" s="425">
        <f>+'3-DONNEE DE BASE'!$D$92*'6-Cout économique du projet'!$H$64</f>
        <v>41828.292879486522</v>
      </c>
      <c r="E29" s="425">
        <f>+'3-DONNEE DE BASE'!$D$93*'6-Cout économique du projet'!$H$64</f>
        <v>41828.292879486522</v>
      </c>
      <c r="F29" s="662">
        <f t="shared" si="0"/>
        <v>112417.94980361193</v>
      </c>
    </row>
    <row r="30" spans="2:6" ht="15.75">
      <c r="B30" s="424">
        <f t="shared" si="1"/>
        <v>2041</v>
      </c>
      <c r="C30" s="425">
        <f>+C29*(1+'3-DONNEE DE BASE'!$D$91)</f>
        <v>30199.432246870845</v>
      </c>
      <c r="D30" s="425">
        <f>+'3-DONNEE DE BASE'!$D$92*'6-Cout économique du projet'!$H$64</f>
        <v>41828.292879486522</v>
      </c>
      <c r="E30" s="425">
        <f>+'3-DONNEE DE BASE'!$D$93*'6-Cout économique du projet'!$H$64</f>
        <v>41828.292879486522</v>
      </c>
      <c r="F30" s="662">
        <f t="shared" si="0"/>
        <v>113856.01800584389</v>
      </c>
    </row>
    <row r="31" spans="2:6" ht="16.5" thickBot="1">
      <c r="B31" s="663">
        <f t="shared" si="1"/>
        <v>2042</v>
      </c>
      <c r="C31" s="664">
        <f>+C30*(1+'3-DONNEE DE BASE'!$D$91)</f>
        <v>31709.403859214388</v>
      </c>
      <c r="D31" s="664">
        <f>+'3-DONNEE DE BASE'!$D$92*'6-Cout économique du projet'!$H$64</f>
        <v>41828.292879486522</v>
      </c>
      <c r="E31" s="664">
        <f>+'3-DONNEE DE BASE'!$D$93*'6-Cout économique du projet'!$H$64</f>
        <v>41828.292879486522</v>
      </c>
      <c r="F31" s="665">
        <f t="shared" si="0"/>
        <v>115365.98961818742</v>
      </c>
    </row>
    <row r="32" spans="2:6">
      <c r="F32" s="262"/>
    </row>
  </sheetData>
  <mergeCells count="2">
    <mergeCell ref="B4:F6"/>
    <mergeCell ref="B8:F8"/>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dimension ref="A4:E45"/>
  <sheetViews>
    <sheetView topLeftCell="B31" zoomScale="112" zoomScaleNormal="112" workbookViewId="0">
      <selection activeCell="K63" sqref="K63"/>
    </sheetView>
  </sheetViews>
  <sheetFormatPr baseColWidth="10" defaultRowHeight="15"/>
  <cols>
    <col min="2" max="2" width="68.42578125" style="4" customWidth="1"/>
    <col min="3" max="3" width="9.85546875" customWidth="1"/>
    <col min="4" max="4" width="13.28515625" customWidth="1"/>
    <col min="5" max="5" width="22.140625" customWidth="1"/>
    <col min="6" max="6" width="23.85546875" customWidth="1"/>
    <col min="8" max="8" width="18.42578125" customWidth="1"/>
  </cols>
  <sheetData>
    <row r="4" spans="1:5" ht="15.6" customHeight="1">
      <c r="A4" s="2"/>
      <c r="B4" s="1132" t="s">
        <v>238</v>
      </c>
      <c r="C4" s="1132"/>
      <c r="D4" s="1132"/>
      <c r="E4" s="1132"/>
    </row>
    <row r="5" spans="1:5" ht="15" customHeight="1">
      <c r="A5" s="2"/>
      <c r="B5" s="1132"/>
      <c r="C5" s="1132"/>
      <c r="D5" s="1132"/>
      <c r="E5" s="1132"/>
    </row>
    <row r="6" spans="1:5">
      <c r="C6" s="2"/>
      <c r="D6" s="2"/>
    </row>
    <row r="7" spans="1:5" ht="18.75">
      <c r="B7" s="310" t="s">
        <v>166</v>
      </c>
      <c r="C7" s="309"/>
      <c r="D7" s="252"/>
      <c r="E7" s="253"/>
    </row>
    <row r="8" spans="1:5" ht="33.950000000000003" customHeight="1">
      <c r="B8" s="1113" t="s">
        <v>88</v>
      </c>
      <c r="C8" s="1114"/>
      <c r="D8" s="1114"/>
      <c r="E8" s="1115"/>
    </row>
    <row r="9" spans="1:5" ht="84" customHeight="1">
      <c r="B9" s="1113" t="s">
        <v>163</v>
      </c>
      <c r="C9" s="1114"/>
      <c r="D9" s="1114"/>
      <c r="E9" s="1115"/>
    </row>
    <row r="10" spans="1:5" ht="33" customHeight="1">
      <c r="B10" s="1113" t="s">
        <v>470</v>
      </c>
      <c r="C10" s="1114"/>
      <c r="D10" s="1114"/>
      <c r="E10" s="1115"/>
    </row>
    <row r="11" spans="1:5" ht="48.95" customHeight="1">
      <c r="B11" s="1113" t="s">
        <v>89</v>
      </c>
      <c r="C11" s="1114"/>
      <c r="D11" s="1114"/>
      <c r="E11" s="1115"/>
    </row>
    <row r="12" spans="1:5" ht="36.950000000000003" customHeight="1">
      <c r="B12" s="1113" t="s">
        <v>90</v>
      </c>
      <c r="C12" s="1114"/>
      <c r="D12" s="1114"/>
      <c r="E12" s="1115"/>
    </row>
    <row r="13" spans="1:5" ht="18.75">
      <c r="B13" s="1130" t="s">
        <v>91</v>
      </c>
      <c r="C13" s="1131"/>
      <c r="D13" s="254"/>
      <c r="E13" s="255"/>
    </row>
    <row r="14" spans="1:5" ht="33" customHeight="1">
      <c r="B14" s="1113" t="s">
        <v>164</v>
      </c>
      <c r="C14" s="1114"/>
      <c r="D14" s="1114"/>
      <c r="E14" s="1115"/>
    </row>
    <row r="15" spans="1:5" ht="60" customHeight="1">
      <c r="B15" s="1113" t="s">
        <v>92</v>
      </c>
      <c r="C15" s="1114"/>
      <c r="D15" s="1114"/>
      <c r="E15" s="1115"/>
    </row>
    <row r="16" spans="1:5" ht="50.45" customHeight="1">
      <c r="B16" s="1113" t="s">
        <v>239</v>
      </c>
      <c r="C16" s="1114"/>
      <c r="D16" s="1114"/>
      <c r="E16" s="1115"/>
    </row>
    <row r="17" spans="2:5" ht="53.45" customHeight="1">
      <c r="B17" s="1110" t="s">
        <v>240</v>
      </c>
      <c r="C17" s="1111"/>
      <c r="D17" s="1111"/>
      <c r="E17" s="1112"/>
    </row>
    <row r="18" spans="2:5" ht="47.45" customHeight="1">
      <c r="B18" s="1110" t="s">
        <v>93</v>
      </c>
      <c r="C18" s="1111"/>
      <c r="D18" s="1111"/>
      <c r="E18" s="1112"/>
    </row>
    <row r="19" spans="2:5" ht="31.5" customHeight="1">
      <c r="B19" s="1110" t="s">
        <v>251</v>
      </c>
      <c r="C19" s="1111"/>
      <c r="D19" s="1111"/>
      <c r="E19" s="1112"/>
    </row>
    <row r="20" spans="2:5" ht="37.5" customHeight="1">
      <c r="B20" s="1113" t="s">
        <v>94</v>
      </c>
      <c r="C20" s="1114"/>
      <c r="D20" s="1114"/>
      <c r="E20" s="1115"/>
    </row>
    <row r="21" spans="2:5" ht="50.45" customHeight="1">
      <c r="B21" s="1113" t="s">
        <v>241</v>
      </c>
      <c r="C21" s="1114"/>
      <c r="D21" s="1114"/>
      <c r="E21" s="1115"/>
    </row>
    <row r="22" spans="2:5" ht="83.1" customHeight="1">
      <c r="B22" s="1113" t="s">
        <v>242</v>
      </c>
      <c r="C22" s="1114"/>
      <c r="D22" s="1114"/>
      <c r="E22" s="1115"/>
    </row>
    <row r="23" spans="2:5" ht="23.45" customHeight="1">
      <c r="B23" s="1116" t="s">
        <v>95</v>
      </c>
      <c r="C23" s="1117"/>
      <c r="D23" s="2"/>
      <c r="E23" s="5"/>
    </row>
    <row r="24" spans="2:5" ht="16.5" thickBot="1">
      <c r="B24" s="186"/>
      <c r="C24" s="183"/>
      <c r="D24" s="2"/>
      <c r="E24" s="5"/>
    </row>
    <row r="25" spans="2:5" s="137" customFormat="1" ht="32.25" thickBot="1">
      <c r="B25" s="181" t="s">
        <v>96</v>
      </c>
      <c r="C25" s="184" t="s">
        <v>97</v>
      </c>
      <c r="D25" s="184" t="s">
        <v>98</v>
      </c>
      <c r="E25" s="184" t="s">
        <v>99</v>
      </c>
    </row>
    <row r="26" spans="2:5" ht="16.5" thickBot="1">
      <c r="B26" s="182" t="s">
        <v>100</v>
      </c>
      <c r="C26" s="185" t="s">
        <v>101</v>
      </c>
      <c r="D26" s="185" t="s">
        <v>102</v>
      </c>
      <c r="E26" s="185" t="s">
        <v>103</v>
      </c>
    </row>
    <row r="27" spans="2:5" ht="16.5" thickBot="1">
      <c r="B27" s="182" t="s">
        <v>104</v>
      </c>
      <c r="C27" s="185" t="s">
        <v>102</v>
      </c>
      <c r="D27" s="185" t="s">
        <v>105</v>
      </c>
      <c r="E27" s="185" t="s">
        <v>106</v>
      </c>
    </row>
    <row r="28" spans="2:5" ht="16.5" thickBot="1">
      <c r="B28" s="182" t="s">
        <v>107</v>
      </c>
      <c r="C28" s="185" t="s">
        <v>102</v>
      </c>
      <c r="D28" s="185" t="s">
        <v>101</v>
      </c>
      <c r="E28" s="185" t="s">
        <v>108</v>
      </c>
    </row>
    <row r="29" spans="2:5" ht="15.75">
      <c r="B29" s="187"/>
      <c r="C29" s="2"/>
      <c r="D29" s="2"/>
      <c r="E29" s="5"/>
    </row>
    <row r="30" spans="2:5" ht="15.75">
      <c r="B30" s="1124" t="s">
        <v>245</v>
      </c>
      <c r="C30" s="1125"/>
      <c r="D30" s="1125"/>
      <c r="E30" s="1126"/>
    </row>
    <row r="31" spans="2:5" ht="15.75">
      <c r="B31" s="1127" t="s">
        <v>249</v>
      </c>
      <c r="C31" s="1128"/>
      <c r="D31" s="1128"/>
      <c r="E31" s="1129"/>
    </row>
    <row r="32" spans="2:5" ht="15.75">
      <c r="B32" s="1127" t="s">
        <v>250</v>
      </c>
      <c r="C32" s="1128"/>
      <c r="D32" s="1128"/>
      <c r="E32" s="1129"/>
    </row>
    <row r="33" spans="2:5" ht="28.5" customHeight="1">
      <c r="B33" s="1118" t="s">
        <v>248</v>
      </c>
      <c r="C33" s="1119"/>
      <c r="D33" s="1119"/>
      <c r="E33" s="1120"/>
    </row>
    <row r="34" spans="2:5" ht="18.600000000000001" customHeight="1" thickBot="1">
      <c r="B34" s="1121" t="s">
        <v>247</v>
      </c>
      <c r="C34" s="1122"/>
      <c r="D34" s="1122"/>
      <c r="E34" s="1123"/>
    </row>
    <row r="35" spans="2:5" ht="15.75" thickBot="1"/>
    <row r="36" spans="2:5" ht="15.75">
      <c r="B36" s="249" t="s">
        <v>256</v>
      </c>
      <c r="C36" s="27"/>
      <c r="D36" s="27"/>
      <c r="E36" s="28"/>
    </row>
    <row r="37" spans="2:5" ht="15.75">
      <c r="B37" s="1103" t="s">
        <v>447</v>
      </c>
      <c r="C37" s="1104"/>
      <c r="D37" s="1104"/>
      <c r="E37" s="1105"/>
    </row>
    <row r="38" spans="2:5" ht="15.75">
      <c r="B38" s="136" t="s">
        <v>257</v>
      </c>
      <c r="C38" s="2"/>
      <c r="D38" s="2"/>
      <c r="E38" s="5"/>
    </row>
    <row r="39" spans="2:5" ht="16.5" thickBot="1">
      <c r="B39" s="8" t="s">
        <v>246</v>
      </c>
      <c r="C39" s="7"/>
      <c r="D39" s="7"/>
      <c r="E39" s="6"/>
    </row>
    <row r="40" spans="2:5" ht="15.75">
      <c r="B40" s="257" t="s">
        <v>253</v>
      </c>
      <c r="C40" s="27"/>
      <c r="D40" s="27"/>
      <c r="E40" s="28"/>
    </row>
    <row r="41" spans="2:5" ht="16.5" thickBot="1">
      <c r="B41" s="8" t="s">
        <v>252</v>
      </c>
      <c r="C41" s="7"/>
      <c r="D41" s="7"/>
      <c r="E41" s="6"/>
    </row>
    <row r="42" spans="2:5" s="137" customFormat="1" ht="20.45" customHeight="1">
      <c r="B42" s="1106" t="s">
        <v>258</v>
      </c>
      <c r="C42" s="1107"/>
      <c r="D42" s="1107"/>
      <c r="E42" s="1108"/>
    </row>
    <row r="43" spans="2:5" s="137" customFormat="1" ht="18.600000000000001" customHeight="1">
      <c r="B43" s="1109" t="s">
        <v>254</v>
      </c>
      <c r="C43" s="812"/>
      <c r="D43" s="812"/>
      <c r="E43" s="813"/>
    </row>
    <row r="44" spans="2:5" s="137" customFormat="1" ht="18" customHeight="1" thickBot="1">
      <c r="B44" s="258" t="s">
        <v>255</v>
      </c>
      <c r="C44" s="259"/>
      <c r="D44" s="259"/>
      <c r="E44" s="260"/>
    </row>
    <row r="45" spans="2:5">
      <c r="B45" s="256"/>
    </row>
  </sheetData>
  <mergeCells count="25">
    <mergeCell ref="B8:E8"/>
    <mergeCell ref="B9:E9"/>
    <mergeCell ref="B10:E10"/>
    <mergeCell ref="B11:E11"/>
    <mergeCell ref="B4:E5"/>
    <mergeCell ref="B12:E12"/>
    <mergeCell ref="B14:E14"/>
    <mergeCell ref="B15:E15"/>
    <mergeCell ref="B16:E16"/>
    <mergeCell ref="B17:E17"/>
    <mergeCell ref="B13:C13"/>
    <mergeCell ref="B37:E37"/>
    <mergeCell ref="B42:E42"/>
    <mergeCell ref="B43:E43"/>
    <mergeCell ref="B18:E18"/>
    <mergeCell ref="B19:E19"/>
    <mergeCell ref="B20:E20"/>
    <mergeCell ref="B23:C23"/>
    <mergeCell ref="B33:E33"/>
    <mergeCell ref="B34:E34"/>
    <mergeCell ref="B21:E21"/>
    <mergeCell ref="B22:E22"/>
    <mergeCell ref="B30:E30"/>
    <mergeCell ref="B31:E31"/>
    <mergeCell ref="B32:E3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dimension ref="A1:AP54"/>
  <sheetViews>
    <sheetView zoomScale="115" zoomScaleNormal="115" workbookViewId="0">
      <selection activeCell="C3" sqref="C3:H4"/>
    </sheetView>
  </sheetViews>
  <sheetFormatPr baseColWidth="10" defaultRowHeight="15"/>
  <cols>
    <col min="2" max="2" width="20.7109375" style="1" customWidth="1"/>
    <col min="3" max="3" width="22.7109375" style="1" customWidth="1"/>
    <col min="4" max="4" width="15.7109375" style="1" customWidth="1"/>
    <col min="5" max="5" width="12.85546875" style="1" customWidth="1"/>
    <col min="6" max="6" width="15.140625" style="1" customWidth="1"/>
    <col min="7" max="9" width="10.85546875" style="1"/>
    <col min="10" max="10" width="13.42578125" style="36" customWidth="1"/>
    <col min="11" max="11" width="14.85546875" style="36" customWidth="1"/>
    <col min="12" max="12" width="10.85546875" style="1"/>
    <col min="13" max="13" width="10.85546875" style="36"/>
    <col min="14" max="25" width="10.85546875" style="1"/>
  </cols>
  <sheetData>
    <row r="1" spans="2:25">
      <c r="B1" s="39"/>
      <c r="C1" s="39"/>
      <c r="D1" s="39"/>
      <c r="E1" s="39"/>
      <c r="F1" s="39"/>
      <c r="G1" s="39"/>
      <c r="H1" s="39"/>
      <c r="I1" s="39"/>
      <c r="L1" s="39"/>
      <c r="N1" s="39"/>
      <c r="O1" s="39"/>
      <c r="P1" s="39"/>
      <c r="Q1" s="39"/>
      <c r="R1" s="39"/>
      <c r="S1" s="39"/>
      <c r="T1" s="39"/>
      <c r="U1" s="39"/>
      <c r="V1" s="39"/>
      <c r="W1" s="39"/>
      <c r="X1" s="39"/>
      <c r="Y1" s="39"/>
    </row>
    <row r="2" spans="2:25" ht="15.75" thickBot="1">
      <c r="B2" s="39"/>
      <c r="C2" s="39"/>
      <c r="D2" s="39"/>
      <c r="E2" s="39"/>
      <c r="F2" s="39"/>
      <c r="G2" s="39"/>
      <c r="H2" s="39"/>
      <c r="I2" s="128"/>
      <c r="J2" s="97"/>
      <c r="K2" s="97"/>
      <c r="L2" s="128"/>
      <c r="M2" s="97"/>
      <c r="N2" s="128"/>
      <c r="O2" s="128"/>
      <c r="P2" s="39"/>
      <c r="Q2" s="39"/>
      <c r="R2" s="39"/>
      <c r="S2" s="39"/>
      <c r="T2" s="39"/>
      <c r="U2" s="39"/>
      <c r="V2" s="39"/>
      <c r="W2" s="39"/>
      <c r="X2" s="39"/>
      <c r="Y2" s="39"/>
    </row>
    <row r="3" spans="2:25" ht="14.45" customHeight="1">
      <c r="B3" s="39"/>
      <c r="C3" s="1133" t="s">
        <v>109</v>
      </c>
      <c r="D3" s="1134"/>
      <c r="E3" s="1134"/>
      <c r="F3" s="1134"/>
      <c r="G3" s="1134"/>
      <c r="H3" s="1135"/>
      <c r="I3" s="42"/>
      <c r="J3" s="42"/>
      <c r="K3" s="42"/>
      <c r="L3" s="42"/>
      <c r="M3" s="97"/>
      <c r="N3" s="128"/>
      <c r="O3" s="128"/>
      <c r="P3" s="39"/>
      <c r="Q3" s="39"/>
      <c r="R3" s="39"/>
      <c r="S3" s="39"/>
      <c r="T3" s="39"/>
      <c r="U3" s="39"/>
      <c r="V3" s="39"/>
      <c r="W3" s="39"/>
      <c r="X3" s="39"/>
      <c r="Y3" s="39"/>
    </row>
    <row r="4" spans="2:25" ht="16.5" customHeight="1" thickBot="1">
      <c r="C4" s="1136"/>
      <c r="D4" s="1137"/>
      <c r="E4" s="1137"/>
      <c r="F4" s="1137"/>
      <c r="G4" s="1137"/>
      <c r="H4" s="1138"/>
      <c r="I4" s="42"/>
      <c r="J4" s="42"/>
      <c r="K4" s="42"/>
      <c r="L4" s="42"/>
      <c r="M4" s="86"/>
      <c r="N4" s="128"/>
      <c r="O4" s="128"/>
    </row>
    <row r="5" spans="2:25" ht="25.5" customHeight="1">
      <c r="B5" s="39"/>
      <c r="C5" s="40"/>
      <c r="D5" s="40"/>
      <c r="E5" s="40"/>
      <c r="F5" s="40"/>
      <c r="G5" s="40"/>
      <c r="H5" s="40"/>
      <c r="I5" s="40"/>
      <c r="J5" s="86"/>
      <c r="K5" s="86"/>
      <c r="L5" s="40"/>
      <c r="M5" s="86"/>
      <c r="N5" s="39"/>
      <c r="O5" s="39"/>
      <c r="P5" s="39"/>
      <c r="Q5" s="39"/>
      <c r="R5" s="39"/>
      <c r="S5" s="39"/>
      <c r="T5" s="39"/>
      <c r="U5" s="39"/>
      <c r="V5" s="39"/>
      <c r="W5" s="39"/>
      <c r="X5" s="39"/>
      <c r="Y5" s="39"/>
    </row>
    <row r="6" spans="2:25" ht="25.5" customHeight="1">
      <c r="B6" s="39"/>
      <c r="C6" s="40"/>
      <c r="D6" s="40"/>
      <c r="E6" s="40"/>
      <c r="F6" s="40"/>
      <c r="G6" s="40"/>
      <c r="H6" s="40"/>
      <c r="I6" s="40"/>
      <c r="J6" s="86"/>
      <c r="K6" s="86"/>
      <c r="L6" s="40"/>
      <c r="M6" s="86"/>
      <c r="N6" s="39"/>
      <c r="O6" s="39"/>
      <c r="P6" s="39"/>
      <c r="Q6" s="39"/>
      <c r="R6" s="39"/>
      <c r="S6" s="39"/>
      <c r="T6" s="39"/>
      <c r="U6" s="39"/>
      <c r="V6" s="39"/>
      <c r="W6" s="39"/>
      <c r="X6" s="39"/>
      <c r="Y6" s="39"/>
    </row>
    <row r="7" spans="2:25" ht="23.45" customHeight="1" thickBot="1">
      <c r="B7" s="48"/>
      <c r="C7" s="48"/>
      <c r="D7" s="48"/>
      <c r="E7" s="48"/>
      <c r="F7" s="48"/>
      <c r="G7" s="48"/>
      <c r="H7" s="48"/>
      <c r="I7" s="48"/>
      <c r="J7" s="87"/>
      <c r="K7" s="97"/>
      <c r="L7" s="47"/>
      <c r="M7" s="97"/>
      <c r="N7" s="47"/>
      <c r="O7" s="47"/>
      <c r="P7" s="47"/>
      <c r="Q7" s="47"/>
      <c r="R7" s="47"/>
      <c r="S7" s="47"/>
      <c r="T7" s="47"/>
      <c r="U7" s="47"/>
      <c r="V7" s="47"/>
      <c r="W7" s="47"/>
      <c r="X7" s="47"/>
      <c r="Y7" s="47"/>
    </row>
    <row r="8" spans="2:25" ht="48.95" customHeight="1" thickBot="1">
      <c r="B8" s="1142" t="s">
        <v>72</v>
      </c>
      <c r="C8" s="1143"/>
      <c r="D8" s="1143"/>
      <c r="E8" s="1143"/>
      <c r="F8" s="1143"/>
      <c r="G8" s="1144"/>
      <c r="H8" s="44"/>
      <c r="I8" s="44"/>
      <c r="J8" s="44"/>
      <c r="K8" s="97"/>
      <c r="L8" s="47"/>
      <c r="M8" s="97"/>
      <c r="N8" s="47"/>
      <c r="O8" s="47"/>
      <c r="P8" s="47"/>
      <c r="Q8" s="47"/>
      <c r="R8" s="47"/>
      <c r="S8" s="47"/>
      <c r="T8" s="47"/>
      <c r="U8" s="47"/>
      <c r="V8" s="47"/>
      <c r="W8" s="47"/>
      <c r="X8" s="47"/>
      <c r="Y8" s="47"/>
    </row>
    <row r="9" spans="2:25" ht="25.5" customHeight="1" thickBot="1">
      <c r="B9" s="67"/>
      <c r="C9" s="67"/>
      <c r="D9" s="67"/>
      <c r="E9" s="67"/>
      <c r="F9" s="67"/>
      <c r="G9" s="67"/>
      <c r="H9" s="67"/>
      <c r="I9" s="67"/>
      <c r="J9" s="88"/>
      <c r="K9" s="97"/>
      <c r="L9" s="49"/>
      <c r="M9" s="97"/>
      <c r="N9" s="49"/>
      <c r="O9" s="49"/>
      <c r="P9" s="49"/>
      <c r="Q9" s="49"/>
      <c r="R9" s="49"/>
      <c r="S9" s="49"/>
      <c r="T9" s="49"/>
      <c r="U9" s="49"/>
      <c r="V9" s="49"/>
      <c r="W9" s="49"/>
      <c r="X9" s="49"/>
      <c r="Y9" s="49"/>
    </row>
    <row r="10" spans="2:25" ht="32.450000000000003" customHeight="1" thickBot="1">
      <c r="B10" s="145" t="s">
        <v>71</v>
      </c>
      <c r="C10" s="146" t="s">
        <v>49</v>
      </c>
      <c r="D10" s="116">
        <v>2019</v>
      </c>
      <c r="E10" s="116">
        <f t="shared" ref="E10:Y10" si="0">+D10+1</f>
        <v>2020</v>
      </c>
      <c r="F10" s="116">
        <f t="shared" si="0"/>
        <v>2021</v>
      </c>
      <c r="G10" s="116">
        <f t="shared" si="0"/>
        <v>2022</v>
      </c>
      <c r="H10" s="116">
        <f t="shared" si="0"/>
        <v>2023</v>
      </c>
      <c r="I10" s="116">
        <f t="shared" si="0"/>
        <v>2024</v>
      </c>
      <c r="J10" s="116">
        <f t="shared" si="0"/>
        <v>2025</v>
      </c>
      <c r="K10" s="116">
        <f t="shared" si="0"/>
        <v>2026</v>
      </c>
      <c r="L10" s="116">
        <f t="shared" si="0"/>
        <v>2027</v>
      </c>
      <c r="M10" s="116">
        <f t="shared" si="0"/>
        <v>2028</v>
      </c>
      <c r="N10" s="116">
        <f t="shared" si="0"/>
        <v>2029</v>
      </c>
      <c r="O10" s="117">
        <f t="shared" si="0"/>
        <v>2030</v>
      </c>
      <c r="P10" s="117">
        <f t="shared" si="0"/>
        <v>2031</v>
      </c>
      <c r="Q10" s="117">
        <f t="shared" si="0"/>
        <v>2032</v>
      </c>
      <c r="R10" s="117">
        <f t="shared" si="0"/>
        <v>2033</v>
      </c>
      <c r="S10" s="117">
        <f t="shared" si="0"/>
        <v>2034</v>
      </c>
      <c r="T10" s="117">
        <f t="shared" si="0"/>
        <v>2035</v>
      </c>
      <c r="U10" s="117">
        <f t="shared" si="0"/>
        <v>2036</v>
      </c>
      <c r="V10" s="117">
        <f t="shared" si="0"/>
        <v>2037</v>
      </c>
      <c r="W10" s="117">
        <f t="shared" si="0"/>
        <v>2038</v>
      </c>
      <c r="X10" s="117">
        <f t="shared" si="0"/>
        <v>2039</v>
      </c>
      <c r="Y10" s="118">
        <f t="shared" si="0"/>
        <v>2040</v>
      </c>
    </row>
    <row r="11" spans="2:25" s="137" customFormat="1" ht="51.6" customHeight="1">
      <c r="B11" s="176" t="s">
        <v>77</v>
      </c>
      <c r="C11" s="147"/>
      <c r="D11" s="142">
        <f>+'3-DONNEE DE BASE'!D90</f>
        <v>8.9999999999999993E-3</v>
      </c>
      <c r="E11" s="89">
        <f t="shared" ref="E11:Y11" si="1">+D11*1.05</f>
        <v>9.4500000000000001E-3</v>
      </c>
      <c r="F11" s="89">
        <f t="shared" si="1"/>
        <v>9.9225000000000008E-3</v>
      </c>
      <c r="G11" s="89">
        <f t="shared" si="1"/>
        <v>1.0418625000000001E-2</v>
      </c>
      <c r="H11" s="89">
        <f t="shared" si="1"/>
        <v>1.0939556250000001E-2</v>
      </c>
      <c r="I11" s="89">
        <f t="shared" si="1"/>
        <v>1.1486534062500001E-2</v>
      </c>
      <c r="J11" s="89">
        <f t="shared" si="1"/>
        <v>1.2060860765625002E-2</v>
      </c>
      <c r="K11" s="89">
        <f t="shared" si="1"/>
        <v>1.2663903803906253E-2</v>
      </c>
      <c r="L11" s="89">
        <f t="shared" si="1"/>
        <v>1.3297098994101567E-2</v>
      </c>
      <c r="M11" s="89">
        <f t="shared" si="1"/>
        <v>1.3961953943806647E-2</v>
      </c>
      <c r="N11" s="89">
        <f t="shared" si="1"/>
        <v>1.466005164099698E-2</v>
      </c>
      <c r="O11" s="105">
        <f t="shared" si="1"/>
        <v>1.5393054223046829E-2</v>
      </c>
      <c r="P11" s="105">
        <f t="shared" si="1"/>
        <v>1.6162706934199172E-2</v>
      </c>
      <c r="Q11" s="105">
        <f t="shared" si="1"/>
        <v>1.6970842280909133E-2</v>
      </c>
      <c r="R11" s="105">
        <f t="shared" si="1"/>
        <v>1.781938439495459E-2</v>
      </c>
      <c r="S11" s="105">
        <f t="shared" si="1"/>
        <v>1.8710353614702319E-2</v>
      </c>
      <c r="T11" s="105">
        <f t="shared" si="1"/>
        <v>1.9645871295437437E-2</v>
      </c>
      <c r="U11" s="105">
        <f t="shared" si="1"/>
        <v>2.0628164860209311E-2</v>
      </c>
      <c r="V11" s="105">
        <f t="shared" si="1"/>
        <v>2.1659573103219778E-2</v>
      </c>
      <c r="W11" s="105">
        <f t="shared" si="1"/>
        <v>2.2742551758380768E-2</v>
      </c>
      <c r="X11" s="105">
        <f t="shared" si="1"/>
        <v>2.3879679346299806E-2</v>
      </c>
      <c r="Y11" s="106">
        <f t="shared" si="1"/>
        <v>2.5073663313614797E-2</v>
      </c>
    </row>
    <row r="12" spans="2:25">
      <c r="B12" s="11" t="s">
        <v>4</v>
      </c>
      <c r="C12" s="148">
        <f>+'3-DONNEE DE BASE'!D68</f>
        <v>0</v>
      </c>
      <c r="D12" s="143">
        <f>+D11*C12</f>
        <v>0</v>
      </c>
      <c r="E12" s="10">
        <f>+E11*C12</f>
        <v>0</v>
      </c>
      <c r="F12" s="10">
        <f>+F11*C12</f>
        <v>0</v>
      </c>
      <c r="G12" s="10">
        <f>+G11*C12</f>
        <v>0</v>
      </c>
      <c r="H12" s="10">
        <f>+H11*C12</f>
        <v>0</v>
      </c>
      <c r="I12" s="10">
        <f>+I11*C12</f>
        <v>0</v>
      </c>
      <c r="J12" s="10">
        <f>+J11*C12</f>
        <v>0</v>
      </c>
      <c r="K12" s="10">
        <f>+K11*C12</f>
        <v>0</v>
      </c>
      <c r="L12" s="10">
        <f>+L11*C12</f>
        <v>0</v>
      </c>
      <c r="M12" s="10">
        <f>+M11*C12</f>
        <v>0</v>
      </c>
      <c r="N12" s="10">
        <f>+N11*C12</f>
        <v>0</v>
      </c>
      <c r="O12" s="10">
        <f>+O11*C12</f>
        <v>0</v>
      </c>
      <c r="P12" s="10">
        <f>+P11*C12</f>
        <v>0</v>
      </c>
      <c r="Q12" s="10">
        <f>+Q11*C12</f>
        <v>0</v>
      </c>
      <c r="R12" s="10">
        <f>+R11*C12</f>
        <v>0</v>
      </c>
      <c r="S12" s="10">
        <f>+S11*C12</f>
        <v>0</v>
      </c>
      <c r="T12" s="10">
        <f>+T11*C12</f>
        <v>0</v>
      </c>
      <c r="U12" s="10">
        <f>+U11*C12</f>
        <v>0</v>
      </c>
      <c r="V12" s="10">
        <f>+V11*C12</f>
        <v>0</v>
      </c>
      <c r="W12" s="10">
        <f>+W11*C12</f>
        <v>0</v>
      </c>
      <c r="X12" s="10">
        <f>+X11*C12</f>
        <v>0</v>
      </c>
      <c r="Y12" s="108">
        <f>+Y11*C12</f>
        <v>0</v>
      </c>
    </row>
    <row r="13" spans="2:25" ht="15.75" thickBot="1">
      <c r="B13" s="17" t="s">
        <v>68</v>
      </c>
      <c r="C13" s="149">
        <f>100%-C12</f>
        <v>1</v>
      </c>
      <c r="D13" s="144">
        <f>+D12+D11</f>
        <v>8.9999999999999993E-3</v>
      </c>
      <c r="E13" s="18">
        <f>+E11*C13</f>
        <v>9.4500000000000001E-3</v>
      </c>
      <c r="F13" s="18">
        <f>+F11+C13</f>
        <v>1.0099225000000001</v>
      </c>
      <c r="G13" s="18">
        <f>+G11*C13</f>
        <v>1.0418625000000001E-2</v>
      </c>
      <c r="H13" s="18">
        <f>+H11*C13</f>
        <v>1.0939556250000001E-2</v>
      </c>
      <c r="I13" s="18">
        <f>+I11*C13</f>
        <v>1.1486534062500001E-2</v>
      </c>
      <c r="J13" s="18">
        <f>+J11*C13</f>
        <v>1.2060860765625002E-2</v>
      </c>
      <c r="K13" s="18">
        <f>+K11*C13</f>
        <v>1.2663903803906253E-2</v>
      </c>
      <c r="L13" s="18">
        <f>+L11*C13</f>
        <v>1.3297098994101567E-2</v>
      </c>
      <c r="M13" s="18">
        <f>+M11*C13</f>
        <v>1.3961953943806647E-2</v>
      </c>
      <c r="N13" s="18">
        <f>+N11*C13</f>
        <v>1.466005164099698E-2</v>
      </c>
      <c r="O13" s="18">
        <f>+O11*C13</f>
        <v>1.5393054223046829E-2</v>
      </c>
      <c r="P13" s="18">
        <f>+P11*C13</f>
        <v>1.6162706934199172E-2</v>
      </c>
      <c r="Q13" s="18">
        <f>+Q11*C13</f>
        <v>1.6970842280909133E-2</v>
      </c>
      <c r="R13" s="18">
        <f>+R11*C13</f>
        <v>1.781938439495459E-2</v>
      </c>
      <c r="S13" s="18">
        <f>+S11*C13</f>
        <v>1.8710353614702319E-2</v>
      </c>
      <c r="T13" s="18">
        <f>+T11*C13</f>
        <v>1.9645871295437437E-2</v>
      </c>
      <c r="U13" s="18">
        <f>+U11*C13</f>
        <v>2.0628164860209311E-2</v>
      </c>
      <c r="V13" s="18">
        <f>+V11*C13</f>
        <v>2.1659573103219778E-2</v>
      </c>
      <c r="W13" s="18">
        <f>+W11*C13</f>
        <v>2.2742551758380768E-2</v>
      </c>
      <c r="X13" s="18">
        <f>+X11*C13</f>
        <v>2.3879679346299806E-2</v>
      </c>
      <c r="Y13" s="109">
        <f>+Y11*C13</f>
        <v>2.5073663313614797E-2</v>
      </c>
    </row>
    <row r="14" spans="2:25">
      <c r="B14" s="20" t="s">
        <v>70</v>
      </c>
      <c r="C14" s="152"/>
      <c r="D14" s="150" t="e">
        <f>+'3-DONNEE DE BASE'!#REF!</f>
        <v>#REF!</v>
      </c>
      <c r="E14" s="22" t="e">
        <f>+D14</f>
        <v>#REF!</v>
      </c>
      <c r="F14" s="22" t="e">
        <f>+E14</f>
        <v>#REF!</v>
      </c>
      <c r="G14" s="22" t="e">
        <f>+E14</f>
        <v>#REF!</v>
      </c>
      <c r="H14" s="22" t="e">
        <f>+F14</f>
        <v>#REF!</v>
      </c>
      <c r="I14" s="22" t="e">
        <f>+G14</f>
        <v>#REF!</v>
      </c>
      <c r="J14" s="22" t="e">
        <f>+I14</f>
        <v>#REF!</v>
      </c>
      <c r="K14" s="22" t="e">
        <f>+I14</f>
        <v>#REF!</v>
      </c>
      <c r="L14" s="22" t="e">
        <f>+J14</f>
        <v>#REF!</v>
      </c>
      <c r="M14" s="22" t="e">
        <f>+K14</f>
        <v>#REF!</v>
      </c>
      <c r="N14" s="22" t="e">
        <f>+L14</f>
        <v>#REF!</v>
      </c>
      <c r="O14" s="22" t="e">
        <f>+M14</f>
        <v>#REF!</v>
      </c>
      <c r="P14" s="22" t="e">
        <f>+O14</f>
        <v>#REF!</v>
      </c>
      <c r="Q14" s="22" t="e">
        <f t="shared" ref="Q14:Y14" si="2">+O14</f>
        <v>#REF!</v>
      </c>
      <c r="R14" s="22" t="e">
        <f t="shared" si="2"/>
        <v>#REF!</v>
      </c>
      <c r="S14" s="22" t="e">
        <f t="shared" si="2"/>
        <v>#REF!</v>
      </c>
      <c r="T14" s="22" t="e">
        <f t="shared" si="2"/>
        <v>#REF!</v>
      </c>
      <c r="U14" s="22" t="e">
        <f t="shared" si="2"/>
        <v>#REF!</v>
      </c>
      <c r="V14" s="22" t="e">
        <f t="shared" si="2"/>
        <v>#REF!</v>
      </c>
      <c r="W14" s="22" t="e">
        <f t="shared" si="2"/>
        <v>#REF!</v>
      </c>
      <c r="X14" s="22" t="e">
        <f t="shared" si="2"/>
        <v>#REF!</v>
      </c>
      <c r="Y14" s="22" t="e">
        <f t="shared" si="2"/>
        <v>#REF!</v>
      </c>
    </row>
    <row r="15" spans="2:25">
      <c r="B15" s="157" t="s">
        <v>4</v>
      </c>
      <c r="C15" s="148">
        <v>0.7</v>
      </c>
      <c r="D15" s="143" t="e">
        <f>+D14*C15</f>
        <v>#REF!</v>
      </c>
      <c r="E15" s="10" t="e">
        <f>+E14*C15</f>
        <v>#REF!</v>
      </c>
      <c r="F15" s="10" t="e">
        <f>+F14*C15</f>
        <v>#REF!</v>
      </c>
      <c r="G15" s="10" t="e">
        <f>+G14*C15</f>
        <v>#REF!</v>
      </c>
      <c r="H15" s="10" t="e">
        <f>+H14*C15</f>
        <v>#REF!</v>
      </c>
      <c r="I15" s="10" t="e">
        <f>+I14*C15</f>
        <v>#REF!</v>
      </c>
      <c r="J15" s="10" t="e">
        <f>+J14*C15</f>
        <v>#REF!</v>
      </c>
      <c r="K15" s="10" t="e">
        <f>+K14*C15</f>
        <v>#REF!</v>
      </c>
      <c r="L15" s="10" t="e">
        <f>+L14*C15</f>
        <v>#REF!</v>
      </c>
      <c r="M15" s="10" t="e">
        <f>+M14*C15</f>
        <v>#REF!</v>
      </c>
      <c r="N15" s="10"/>
      <c r="O15" s="10" t="e">
        <f>+O14*C15</f>
        <v>#REF!</v>
      </c>
      <c r="P15" s="10" t="e">
        <f>+P14*C15</f>
        <v>#REF!</v>
      </c>
      <c r="Q15" s="10" t="e">
        <f>+Q14*C15</f>
        <v>#REF!</v>
      </c>
      <c r="R15" s="10" t="e">
        <f>+R14*C15</f>
        <v>#REF!</v>
      </c>
      <c r="S15" s="10"/>
      <c r="T15" s="10"/>
      <c r="U15" s="10" t="e">
        <f>+U14*C15</f>
        <v>#REF!</v>
      </c>
      <c r="V15" s="10" t="e">
        <f>+V14*C15</f>
        <v>#REF!</v>
      </c>
      <c r="W15" s="10" t="e">
        <f>+W14*C15</f>
        <v>#REF!</v>
      </c>
      <c r="X15" s="10" t="e">
        <f>+X14*C15</f>
        <v>#REF!</v>
      </c>
      <c r="Y15" s="108" t="e">
        <f>+Y14*C15</f>
        <v>#REF!</v>
      </c>
    </row>
    <row r="16" spans="2:25" s="137" customFormat="1" ht="44.1" customHeight="1" thickBot="1">
      <c r="B16" s="158" t="s">
        <v>69</v>
      </c>
      <c r="C16" s="153">
        <v>0.3</v>
      </c>
      <c r="D16" s="151" t="e">
        <f>+D14*C16</f>
        <v>#REF!</v>
      </c>
      <c r="E16" s="21" t="e">
        <f>+E14*C16</f>
        <v>#REF!</v>
      </c>
      <c r="F16" s="21" t="e">
        <f>+F14*C16</f>
        <v>#REF!</v>
      </c>
      <c r="G16" s="21" t="e">
        <f>+G14*C16</f>
        <v>#REF!</v>
      </c>
      <c r="H16" s="21" t="e">
        <f>+H14*C16</f>
        <v>#REF!</v>
      </c>
      <c r="I16" s="21" t="e">
        <f>+I14*C16</f>
        <v>#REF!</v>
      </c>
      <c r="J16" s="21" t="e">
        <f>+J14*C16</f>
        <v>#REF!</v>
      </c>
      <c r="K16" s="21" t="e">
        <f>+K14*C16</f>
        <v>#REF!</v>
      </c>
      <c r="L16" s="21" t="e">
        <f>+L14*C16</f>
        <v>#REF!</v>
      </c>
      <c r="M16" s="21" t="e">
        <f>+M14*C16</f>
        <v>#REF!</v>
      </c>
      <c r="N16" s="21" t="e">
        <f>+N14*C16</f>
        <v>#REF!</v>
      </c>
      <c r="O16" s="21" t="e">
        <f>+O14*C16</f>
        <v>#REF!</v>
      </c>
      <c r="P16" s="21" t="e">
        <f>+P14*C16</f>
        <v>#REF!</v>
      </c>
      <c r="Q16" s="21" t="e">
        <f>+Q14*C16</f>
        <v>#REF!</v>
      </c>
      <c r="R16" s="21" t="e">
        <f>+R14*C16</f>
        <v>#REF!</v>
      </c>
      <c r="S16" s="21" t="e">
        <f>+S14*C16</f>
        <v>#REF!</v>
      </c>
      <c r="T16" s="21" t="e">
        <f>+T14*C16</f>
        <v>#REF!</v>
      </c>
      <c r="U16" s="21" t="e">
        <f>+U14*C16</f>
        <v>#REF!</v>
      </c>
      <c r="V16" s="21" t="e">
        <f>+V14*C16</f>
        <v>#REF!</v>
      </c>
      <c r="W16" s="21" t="e">
        <f>+W14*C16</f>
        <v>#REF!</v>
      </c>
      <c r="X16" s="21" t="e">
        <f>+X14*C16</f>
        <v>#REF!</v>
      </c>
      <c r="Y16" s="113" t="e">
        <f>+Y14*C16</f>
        <v>#REF!</v>
      </c>
    </row>
    <row r="17" spans="1:26">
      <c r="B17" s="20" t="s">
        <v>7</v>
      </c>
      <c r="C17" s="110"/>
      <c r="D17" s="22" t="e">
        <f>+'3-DONNEE DE BASE'!#REF!</f>
        <v>#REF!</v>
      </c>
      <c r="E17" s="22" t="e">
        <f>+'3-DONNEE DE BASE'!#REF!</f>
        <v>#REF!</v>
      </c>
      <c r="F17" s="22" t="e">
        <f>+E17</f>
        <v>#REF!</v>
      </c>
      <c r="G17" s="22" t="e">
        <f>+F17</f>
        <v>#REF!</v>
      </c>
      <c r="H17" s="22" t="e">
        <f>+G17</f>
        <v>#REF!</v>
      </c>
      <c r="I17" s="22" t="e">
        <f>+G17</f>
        <v>#REF!</v>
      </c>
      <c r="J17" s="22" t="e">
        <f>+F17</f>
        <v>#REF!</v>
      </c>
      <c r="K17" s="22" t="e">
        <f>+H17</f>
        <v>#REF!</v>
      </c>
      <c r="L17" s="22" t="e">
        <f t="shared" ref="L17:W17" si="3">+K17</f>
        <v>#REF!</v>
      </c>
      <c r="M17" s="22" t="e">
        <f t="shared" si="3"/>
        <v>#REF!</v>
      </c>
      <c r="N17" s="22" t="e">
        <f t="shared" si="3"/>
        <v>#REF!</v>
      </c>
      <c r="O17" s="22" t="e">
        <f t="shared" si="3"/>
        <v>#REF!</v>
      </c>
      <c r="P17" s="22" t="e">
        <f t="shared" si="3"/>
        <v>#REF!</v>
      </c>
      <c r="Q17" s="22" t="e">
        <f t="shared" si="3"/>
        <v>#REF!</v>
      </c>
      <c r="R17" s="22" t="e">
        <f t="shared" si="3"/>
        <v>#REF!</v>
      </c>
      <c r="S17" s="22" t="e">
        <f t="shared" si="3"/>
        <v>#REF!</v>
      </c>
      <c r="T17" s="22" t="e">
        <f t="shared" si="3"/>
        <v>#REF!</v>
      </c>
      <c r="U17" s="22" t="e">
        <f t="shared" si="3"/>
        <v>#REF!</v>
      </c>
      <c r="V17" s="22" t="e">
        <f t="shared" si="3"/>
        <v>#REF!</v>
      </c>
      <c r="W17" s="22" t="e">
        <f t="shared" si="3"/>
        <v>#REF!</v>
      </c>
      <c r="X17" s="22" t="e">
        <f>+V17</f>
        <v>#REF!</v>
      </c>
      <c r="Y17" s="111">
        <f>'[3]Calcul de base'!$E$37</f>
        <v>46464</v>
      </c>
    </row>
    <row r="18" spans="1:26">
      <c r="B18" s="157" t="s">
        <v>4</v>
      </c>
      <c r="C18" s="107">
        <f>'3-DONNEE DE BASE'!D70</f>
        <v>0</v>
      </c>
      <c r="D18" s="10" t="e">
        <f>+D17*C18</f>
        <v>#REF!</v>
      </c>
      <c r="E18" s="10" t="e">
        <f>+E17*C18</f>
        <v>#REF!</v>
      </c>
      <c r="F18" s="10" t="e">
        <f>+F17*C18</f>
        <v>#REF!</v>
      </c>
      <c r="G18" s="10" t="e">
        <f>+G17*C18</f>
        <v>#REF!</v>
      </c>
      <c r="H18" s="10" t="e">
        <f>+H17*C18</f>
        <v>#REF!</v>
      </c>
      <c r="I18" s="10" t="e">
        <f>+I17*C18</f>
        <v>#REF!</v>
      </c>
      <c r="J18" s="10" t="e">
        <f>+J17*C18</f>
        <v>#REF!</v>
      </c>
      <c r="K18" s="10" t="e">
        <f>+K17*C18</f>
        <v>#REF!</v>
      </c>
      <c r="L18" s="10" t="e">
        <f>+L17*C18</f>
        <v>#REF!</v>
      </c>
      <c r="M18" s="10" t="e">
        <f>+M17*C18</f>
        <v>#REF!</v>
      </c>
      <c r="N18" s="10" t="e">
        <f>+N17*C18</f>
        <v>#REF!</v>
      </c>
      <c r="O18" s="10" t="e">
        <f>+O17*C18</f>
        <v>#REF!</v>
      </c>
      <c r="P18" s="10" t="e">
        <f>+P17*C18</f>
        <v>#REF!</v>
      </c>
      <c r="Q18" s="10" t="e">
        <f>+Q17*C18</f>
        <v>#REF!</v>
      </c>
      <c r="R18" s="10" t="e">
        <f>+R17*C18</f>
        <v>#REF!</v>
      </c>
      <c r="S18" s="10" t="e">
        <f>+S17*C18</f>
        <v>#REF!</v>
      </c>
      <c r="T18" s="10" t="e">
        <f>+T17*C18</f>
        <v>#REF!</v>
      </c>
      <c r="U18" s="10" t="e">
        <f>+U17*C18</f>
        <v>#REF!</v>
      </c>
      <c r="V18" s="10" t="e">
        <f>+V17*C18</f>
        <v>#REF!</v>
      </c>
      <c r="W18" s="10" t="e">
        <f>+W17*C18</f>
        <v>#REF!</v>
      </c>
      <c r="X18" s="10" t="e">
        <f>+X17*C18</f>
        <v>#REF!</v>
      </c>
      <c r="Y18" s="108">
        <f>+Y17*C18</f>
        <v>0</v>
      </c>
    </row>
    <row r="19" spans="1:26" s="137" customFormat="1" ht="32.1" customHeight="1" thickBot="1">
      <c r="B19" s="159" t="s">
        <v>73</v>
      </c>
      <c r="C19" s="112">
        <f>100%-C18</f>
        <v>1</v>
      </c>
      <c r="D19" s="21" t="e">
        <f>+D17*C19</f>
        <v>#REF!</v>
      </c>
      <c r="E19" s="21" t="e">
        <f>+E17*C19</f>
        <v>#REF!</v>
      </c>
      <c r="F19" s="21" t="e">
        <f>+F17*C19</f>
        <v>#REF!</v>
      </c>
      <c r="G19" s="21" t="e">
        <f>+G17*C19</f>
        <v>#REF!</v>
      </c>
      <c r="H19" s="21" t="e">
        <f>+H17*C19</f>
        <v>#REF!</v>
      </c>
      <c r="I19" s="21" t="e">
        <f>+I17*C19</f>
        <v>#REF!</v>
      </c>
      <c r="J19" s="21" t="e">
        <f>+J17*C19</f>
        <v>#REF!</v>
      </c>
      <c r="K19" s="21" t="e">
        <f>+K17*C19</f>
        <v>#REF!</v>
      </c>
      <c r="L19" s="21" t="e">
        <f>+L17*C19</f>
        <v>#REF!</v>
      </c>
      <c r="M19" s="21" t="e">
        <f>+M17*C19</f>
        <v>#REF!</v>
      </c>
      <c r="N19" s="21" t="e">
        <f>+N17*C19</f>
        <v>#REF!</v>
      </c>
      <c r="O19" s="21" t="e">
        <f>+O17*C19</f>
        <v>#REF!</v>
      </c>
      <c r="P19" s="21" t="e">
        <f>+P17*C19</f>
        <v>#REF!</v>
      </c>
      <c r="Q19" s="21" t="e">
        <f>+Q17*C19</f>
        <v>#REF!</v>
      </c>
      <c r="R19" s="21" t="e">
        <f>+R17*C19</f>
        <v>#REF!</v>
      </c>
      <c r="S19" s="21" t="e">
        <f>+S17*C19</f>
        <v>#REF!</v>
      </c>
      <c r="T19" s="21" t="e">
        <f>+T17*C19</f>
        <v>#REF!</v>
      </c>
      <c r="U19" s="21" t="e">
        <f>+U17*C19</f>
        <v>#REF!</v>
      </c>
      <c r="V19" s="21" t="e">
        <f>+V17*C19</f>
        <v>#REF!</v>
      </c>
      <c r="W19" s="21" t="e">
        <f>+W17*C19</f>
        <v>#REF!</v>
      </c>
      <c r="X19" s="21" t="e">
        <f>+X17*C19</f>
        <v>#REF!</v>
      </c>
      <c r="Y19" s="113">
        <f>+Y17*C19</f>
        <v>46464</v>
      </c>
    </row>
    <row r="20" spans="1:26">
      <c r="B20" s="155" t="s">
        <v>8</v>
      </c>
      <c r="C20" s="56"/>
      <c r="D20" s="19">
        <f>+'[4]3-DONNEES DE BASE'!$G$50</f>
        <v>66333.884351699031</v>
      </c>
      <c r="E20" s="19">
        <f>+'[4]3-DONNEES DE BASE'!$G$50</f>
        <v>66333.884351699031</v>
      </c>
      <c r="F20" s="19">
        <f>+'[4]3-DONNEES DE BASE'!$G$50</f>
        <v>66333.884351699031</v>
      </c>
      <c r="G20" s="19">
        <f>+'[4]3-DONNEES DE BASE'!$G$50</f>
        <v>66333.884351699031</v>
      </c>
      <c r="H20" s="19">
        <f>+'[4]3-DONNEES DE BASE'!$G$50</f>
        <v>66333.884351699031</v>
      </c>
      <c r="I20" s="19">
        <f>+'[4]3-DONNEES DE BASE'!$G$50</f>
        <v>66333.884351699031</v>
      </c>
      <c r="J20" s="19">
        <f>+'[4]3-DONNEES DE BASE'!$G$50</f>
        <v>66333.884351699031</v>
      </c>
      <c r="K20" s="19">
        <f>+'[4]3-DONNEES DE BASE'!$G$50</f>
        <v>66333.884351699031</v>
      </c>
      <c r="L20" s="19">
        <f>+'[4]3-DONNEES DE BASE'!$G$50</f>
        <v>66333.884351699031</v>
      </c>
      <c r="M20" s="19">
        <f>+'[4]3-DONNEES DE BASE'!$G$50</f>
        <v>66333.884351699031</v>
      </c>
      <c r="N20" s="19"/>
      <c r="O20" s="19"/>
      <c r="P20" s="19"/>
      <c r="Q20" s="19"/>
      <c r="R20" s="19"/>
      <c r="S20" s="19"/>
      <c r="T20" s="19"/>
      <c r="U20" s="19"/>
      <c r="V20" s="19"/>
      <c r="W20" s="19"/>
      <c r="X20" s="19"/>
      <c r="Y20" s="114"/>
    </row>
    <row r="21" spans="1:26">
      <c r="B21" s="156" t="s">
        <v>4</v>
      </c>
      <c r="C21" s="154">
        <f>'3-DONNEE DE BASE'!D71</f>
        <v>0</v>
      </c>
      <c r="D21" s="19">
        <f>+C21</f>
        <v>0</v>
      </c>
      <c r="E21" s="19">
        <f>+E20*C21</f>
        <v>0</v>
      </c>
      <c r="F21" s="19">
        <f>+F20*C21</f>
        <v>0</v>
      </c>
      <c r="G21" s="19">
        <f>+G20*C21</f>
        <v>0</v>
      </c>
      <c r="H21" s="19">
        <f>+H20*C21</f>
        <v>0</v>
      </c>
      <c r="I21" s="19">
        <f>+I20*C21</f>
        <v>0</v>
      </c>
      <c r="J21" s="19">
        <f>+J20*C21</f>
        <v>0</v>
      </c>
      <c r="K21" s="19">
        <f>+K20*C21</f>
        <v>0</v>
      </c>
      <c r="L21" s="19">
        <f>+L20*C21</f>
        <v>0</v>
      </c>
      <c r="M21" s="19">
        <f>+M20*C21</f>
        <v>0</v>
      </c>
      <c r="N21" s="19"/>
      <c r="O21" s="19">
        <f>+O20*C21</f>
        <v>0</v>
      </c>
      <c r="P21" s="19">
        <f>+P20*C21</f>
        <v>0</v>
      </c>
      <c r="Q21" s="19"/>
      <c r="R21" s="19"/>
      <c r="S21" s="19"/>
      <c r="T21" s="19"/>
      <c r="U21" s="19"/>
      <c r="V21" s="19"/>
      <c r="W21" s="19"/>
      <c r="X21" s="19"/>
      <c r="Y21" s="114"/>
    </row>
    <row r="22" spans="1:26" s="137" customFormat="1" ht="41.45" customHeight="1" thickBot="1">
      <c r="B22" s="167" t="s">
        <v>74</v>
      </c>
      <c r="C22" s="168">
        <f>100%-C21</f>
        <v>1</v>
      </c>
      <c r="D22" s="160">
        <f>+D20*C22</f>
        <v>66333.884351699031</v>
      </c>
      <c r="E22" s="160">
        <f>+E20*C22</f>
        <v>66333.884351699031</v>
      </c>
      <c r="F22" s="160">
        <f>+F20*C22</f>
        <v>66333.884351699031</v>
      </c>
      <c r="G22" s="160">
        <f>+G20*C22</f>
        <v>66333.884351699031</v>
      </c>
      <c r="H22" s="160">
        <f>+H20*C22</f>
        <v>66333.884351699031</v>
      </c>
      <c r="I22" s="160">
        <f>+I20*C22</f>
        <v>66333.884351699031</v>
      </c>
      <c r="J22" s="160">
        <f>+J20*C22</f>
        <v>66333.884351699031</v>
      </c>
      <c r="K22" s="160">
        <f>+K20*C22</f>
        <v>66333.884351699031</v>
      </c>
      <c r="L22" s="160">
        <f>+L20*C22</f>
        <v>66333.884351699031</v>
      </c>
      <c r="M22" s="160">
        <f>+M20*C22</f>
        <v>66333.884351699031</v>
      </c>
      <c r="N22" s="160"/>
      <c r="O22" s="160">
        <f>+O20*N22</f>
        <v>0</v>
      </c>
      <c r="P22" s="160">
        <f>+P20*O22</f>
        <v>0</v>
      </c>
      <c r="Q22" s="160"/>
      <c r="R22" s="160"/>
      <c r="S22" s="160"/>
      <c r="T22" s="160"/>
      <c r="U22" s="160"/>
      <c r="V22" s="160"/>
      <c r="W22" s="160"/>
      <c r="X22" s="160"/>
      <c r="Y22" s="161"/>
    </row>
    <row r="23" spans="1:26" s="137" customFormat="1" ht="29.1" customHeight="1">
      <c r="B23" s="173" t="s">
        <v>75</v>
      </c>
      <c r="C23" s="169"/>
      <c r="D23" s="165"/>
      <c r="E23" s="160"/>
      <c r="F23" s="160"/>
      <c r="G23" s="160"/>
      <c r="H23" s="160"/>
      <c r="I23" s="160"/>
      <c r="J23" s="160"/>
      <c r="K23" s="160"/>
      <c r="L23" s="160"/>
      <c r="M23" s="160"/>
      <c r="N23" s="160"/>
      <c r="O23" s="160"/>
      <c r="P23" s="160"/>
      <c r="Q23" s="160"/>
      <c r="R23" s="160"/>
      <c r="S23" s="160"/>
      <c r="T23" s="160"/>
      <c r="U23" s="160"/>
      <c r="V23" s="160"/>
      <c r="W23" s="160"/>
      <c r="X23" s="160"/>
      <c r="Y23" s="161"/>
    </row>
    <row r="24" spans="1:26" s="137" customFormat="1" ht="29.1" customHeight="1">
      <c r="B24" s="171" t="s">
        <v>4</v>
      </c>
      <c r="C24" s="170"/>
      <c r="D24" s="165"/>
      <c r="E24" s="160"/>
      <c r="F24" s="160"/>
      <c r="G24" s="160"/>
      <c r="H24" s="160"/>
      <c r="I24" s="160"/>
      <c r="J24" s="160"/>
      <c r="K24" s="160"/>
      <c r="L24" s="160"/>
      <c r="M24" s="160"/>
      <c r="N24" s="160"/>
      <c r="O24" s="160"/>
      <c r="P24" s="160"/>
      <c r="Q24" s="160"/>
      <c r="R24" s="160"/>
      <c r="S24" s="160"/>
      <c r="T24" s="160"/>
      <c r="U24" s="160"/>
      <c r="V24" s="160"/>
      <c r="W24" s="160"/>
      <c r="X24" s="160"/>
      <c r="Y24" s="161"/>
    </row>
    <row r="25" spans="1:26" s="137" customFormat="1" ht="29.1" customHeight="1" thickBot="1">
      <c r="B25" s="172" t="s">
        <v>76</v>
      </c>
      <c r="C25" s="175"/>
      <c r="D25" s="165"/>
      <c r="E25" s="160"/>
      <c r="F25" s="160"/>
      <c r="G25" s="160"/>
      <c r="H25" s="160"/>
      <c r="I25" s="160"/>
      <c r="J25" s="160"/>
      <c r="K25" s="160"/>
      <c r="L25" s="160"/>
      <c r="M25" s="160"/>
      <c r="N25" s="160"/>
      <c r="O25" s="160"/>
      <c r="P25" s="160"/>
      <c r="Q25" s="160"/>
      <c r="R25" s="160"/>
      <c r="S25" s="160"/>
      <c r="T25" s="160"/>
      <c r="U25" s="160"/>
      <c r="V25" s="160"/>
      <c r="W25" s="160"/>
      <c r="X25" s="160"/>
      <c r="Y25" s="161"/>
    </row>
    <row r="26" spans="1:26" s="12" customFormat="1" ht="25.5" customHeight="1" thickBot="1">
      <c r="B26" s="164"/>
      <c r="C26" s="174" t="s">
        <v>4</v>
      </c>
      <c r="D26" s="166" t="e">
        <f>+D15+D18</f>
        <v>#REF!</v>
      </c>
      <c r="E26" s="90" t="e">
        <f t="shared" ref="E26:Y26" si="4">+E15+E18</f>
        <v>#REF!</v>
      </c>
      <c r="F26" s="90" t="e">
        <f t="shared" si="4"/>
        <v>#REF!</v>
      </c>
      <c r="G26" s="90" t="e">
        <f t="shared" si="4"/>
        <v>#REF!</v>
      </c>
      <c r="H26" s="90" t="e">
        <f t="shared" si="4"/>
        <v>#REF!</v>
      </c>
      <c r="I26" s="90" t="e">
        <f t="shared" si="4"/>
        <v>#REF!</v>
      </c>
      <c r="J26" s="90" t="e">
        <f t="shared" si="4"/>
        <v>#REF!</v>
      </c>
      <c r="K26" s="90" t="e">
        <f t="shared" si="4"/>
        <v>#REF!</v>
      </c>
      <c r="L26" s="90" t="e">
        <f t="shared" si="4"/>
        <v>#REF!</v>
      </c>
      <c r="M26" s="90" t="e">
        <f t="shared" si="4"/>
        <v>#REF!</v>
      </c>
      <c r="N26" s="90" t="e">
        <f t="shared" si="4"/>
        <v>#REF!</v>
      </c>
      <c r="O26" s="90" t="e">
        <f t="shared" si="4"/>
        <v>#REF!</v>
      </c>
      <c r="P26" s="90" t="e">
        <f t="shared" si="4"/>
        <v>#REF!</v>
      </c>
      <c r="Q26" s="90" t="e">
        <f t="shared" si="4"/>
        <v>#REF!</v>
      </c>
      <c r="R26" s="90" t="e">
        <f t="shared" si="4"/>
        <v>#REF!</v>
      </c>
      <c r="S26" s="90" t="e">
        <f t="shared" si="4"/>
        <v>#REF!</v>
      </c>
      <c r="T26" s="90" t="e">
        <f t="shared" si="4"/>
        <v>#REF!</v>
      </c>
      <c r="U26" s="90" t="e">
        <f t="shared" si="4"/>
        <v>#REF!</v>
      </c>
      <c r="V26" s="90" t="e">
        <f t="shared" si="4"/>
        <v>#REF!</v>
      </c>
      <c r="W26" s="90" t="e">
        <f t="shared" si="4"/>
        <v>#REF!</v>
      </c>
      <c r="X26" s="90" t="e">
        <f t="shared" si="4"/>
        <v>#REF!</v>
      </c>
      <c r="Y26" s="90" t="e">
        <f t="shared" si="4"/>
        <v>#REF!</v>
      </c>
    </row>
    <row r="27" spans="1:26" s="12" customFormat="1" ht="14.45" customHeight="1">
      <c r="B27" s="162"/>
      <c r="C27" s="69" t="s">
        <v>9</v>
      </c>
      <c r="D27" s="90">
        <f>+D13</f>
        <v>8.9999999999999993E-3</v>
      </c>
      <c r="E27" s="90">
        <f t="shared" ref="E27:Y27" si="5">+E13</f>
        <v>9.4500000000000001E-3</v>
      </c>
      <c r="F27" s="90">
        <f t="shared" si="5"/>
        <v>1.0099225000000001</v>
      </c>
      <c r="G27" s="90">
        <f t="shared" si="5"/>
        <v>1.0418625000000001E-2</v>
      </c>
      <c r="H27" s="90">
        <f t="shared" si="5"/>
        <v>1.0939556250000001E-2</v>
      </c>
      <c r="I27" s="90">
        <f t="shared" si="5"/>
        <v>1.1486534062500001E-2</v>
      </c>
      <c r="J27" s="90">
        <f t="shared" si="5"/>
        <v>1.2060860765625002E-2</v>
      </c>
      <c r="K27" s="90">
        <f t="shared" si="5"/>
        <v>1.2663903803906253E-2</v>
      </c>
      <c r="L27" s="90">
        <f t="shared" si="5"/>
        <v>1.3297098994101567E-2</v>
      </c>
      <c r="M27" s="90">
        <f t="shared" si="5"/>
        <v>1.3961953943806647E-2</v>
      </c>
      <c r="N27" s="90">
        <f t="shared" si="5"/>
        <v>1.466005164099698E-2</v>
      </c>
      <c r="O27" s="90">
        <f t="shared" si="5"/>
        <v>1.5393054223046829E-2</v>
      </c>
      <c r="P27" s="90">
        <f t="shared" si="5"/>
        <v>1.6162706934199172E-2</v>
      </c>
      <c r="Q27" s="90">
        <f t="shared" si="5"/>
        <v>1.6970842280909133E-2</v>
      </c>
      <c r="R27" s="90">
        <f t="shared" si="5"/>
        <v>1.781938439495459E-2</v>
      </c>
      <c r="S27" s="90">
        <f t="shared" si="5"/>
        <v>1.8710353614702319E-2</v>
      </c>
      <c r="T27" s="90">
        <f t="shared" si="5"/>
        <v>1.9645871295437437E-2</v>
      </c>
      <c r="U27" s="90">
        <f t="shared" si="5"/>
        <v>2.0628164860209311E-2</v>
      </c>
      <c r="V27" s="90">
        <f t="shared" si="5"/>
        <v>2.1659573103219778E-2</v>
      </c>
      <c r="W27" s="90">
        <f t="shared" si="5"/>
        <v>2.2742551758380768E-2</v>
      </c>
      <c r="X27" s="90">
        <f t="shared" si="5"/>
        <v>2.3879679346299806E-2</v>
      </c>
      <c r="Y27" s="90">
        <f t="shared" si="5"/>
        <v>2.5073663313614797E-2</v>
      </c>
    </row>
    <row r="28" spans="1:26" s="23" customFormat="1" ht="26.45" customHeight="1">
      <c r="B28" s="162"/>
      <c r="C28" s="131" t="s">
        <v>12</v>
      </c>
      <c r="D28" s="90" t="e">
        <f>+D16</f>
        <v>#REF!</v>
      </c>
      <c r="E28" s="90" t="e">
        <f t="shared" ref="E28:Y28" si="6">+E16</f>
        <v>#REF!</v>
      </c>
      <c r="F28" s="90" t="e">
        <f t="shared" si="6"/>
        <v>#REF!</v>
      </c>
      <c r="G28" s="90" t="e">
        <f t="shared" si="6"/>
        <v>#REF!</v>
      </c>
      <c r="H28" s="90" t="e">
        <f t="shared" si="6"/>
        <v>#REF!</v>
      </c>
      <c r="I28" s="90" t="e">
        <f t="shared" si="6"/>
        <v>#REF!</v>
      </c>
      <c r="J28" s="90" t="e">
        <f t="shared" si="6"/>
        <v>#REF!</v>
      </c>
      <c r="K28" s="90" t="e">
        <f t="shared" si="6"/>
        <v>#REF!</v>
      </c>
      <c r="L28" s="90" t="e">
        <f t="shared" si="6"/>
        <v>#REF!</v>
      </c>
      <c r="M28" s="90" t="e">
        <f t="shared" si="6"/>
        <v>#REF!</v>
      </c>
      <c r="N28" s="90" t="e">
        <f t="shared" si="6"/>
        <v>#REF!</v>
      </c>
      <c r="O28" s="90" t="e">
        <f t="shared" si="6"/>
        <v>#REF!</v>
      </c>
      <c r="P28" s="90" t="e">
        <f t="shared" si="6"/>
        <v>#REF!</v>
      </c>
      <c r="Q28" s="90" t="e">
        <f t="shared" si="6"/>
        <v>#REF!</v>
      </c>
      <c r="R28" s="90" t="e">
        <f t="shared" si="6"/>
        <v>#REF!</v>
      </c>
      <c r="S28" s="90" t="e">
        <f t="shared" si="6"/>
        <v>#REF!</v>
      </c>
      <c r="T28" s="90" t="e">
        <f t="shared" si="6"/>
        <v>#REF!</v>
      </c>
      <c r="U28" s="90" t="e">
        <f t="shared" si="6"/>
        <v>#REF!</v>
      </c>
      <c r="V28" s="90" t="e">
        <f t="shared" si="6"/>
        <v>#REF!</v>
      </c>
      <c r="W28" s="90" t="e">
        <f t="shared" si="6"/>
        <v>#REF!</v>
      </c>
      <c r="X28" s="90" t="e">
        <f t="shared" si="6"/>
        <v>#REF!</v>
      </c>
      <c r="Y28" s="90" t="e">
        <f t="shared" si="6"/>
        <v>#REF!</v>
      </c>
    </row>
    <row r="29" spans="1:26" s="23" customFormat="1" ht="18" customHeight="1">
      <c r="B29" s="162"/>
      <c r="C29" s="131" t="s">
        <v>46</v>
      </c>
      <c r="D29" s="90" t="e">
        <f>+D19</f>
        <v>#REF!</v>
      </c>
      <c r="E29" s="90" t="e">
        <f t="shared" ref="E29:Y29" si="7">+E19</f>
        <v>#REF!</v>
      </c>
      <c r="F29" s="90" t="e">
        <f t="shared" si="7"/>
        <v>#REF!</v>
      </c>
      <c r="G29" s="90" t="e">
        <f t="shared" si="7"/>
        <v>#REF!</v>
      </c>
      <c r="H29" s="90" t="e">
        <f t="shared" si="7"/>
        <v>#REF!</v>
      </c>
      <c r="I29" s="90" t="e">
        <f t="shared" si="7"/>
        <v>#REF!</v>
      </c>
      <c r="J29" s="90" t="e">
        <f t="shared" si="7"/>
        <v>#REF!</v>
      </c>
      <c r="K29" s="90" t="e">
        <f t="shared" si="7"/>
        <v>#REF!</v>
      </c>
      <c r="L29" s="90" t="e">
        <f t="shared" si="7"/>
        <v>#REF!</v>
      </c>
      <c r="M29" s="90" t="e">
        <f t="shared" si="7"/>
        <v>#REF!</v>
      </c>
      <c r="N29" s="90" t="e">
        <f t="shared" si="7"/>
        <v>#REF!</v>
      </c>
      <c r="O29" s="90" t="e">
        <f t="shared" si="7"/>
        <v>#REF!</v>
      </c>
      <c r="P29" s="90" t="e">
        <f t="shared" si="7"/>
        <v>#REF!</v>
      </c>
      <c r="Q29" s="90" t="e">
        <f t="shared" si="7"/>
        <v>#REF!</v>
      </c>
      <c r="R29" s="90" t="e">
        <f t="shared" si="7"/>
        <v>#REF!</v>
      </c>
      <c r="S29" s="90" t="e">
        <f t="shared" si="7"/>
        <v>#REF!</v>
      </c>
      <c r="T29" s="90" t="e">
        <f t="shared" si="7"/>
        <v>#REF!</v>
      </c>
      <c r="U29" s="90" t="e">
        <f t="shared" si="7"/>
        <v>#REF!</v>
      </c>
      <c r="V29" s="90" t="e">
        <f t="shared" si="7"/>
        <v>#REF!</v>
      </c>
      <c r="W29" s="90" t="e">
        <f t="shared" si="7"/>
        <v>#REF!</v>
      </c>
      <c r="X29" s="90" t="e">
        <f t="shared" si="7"/>
        <v>#REF!</v>
      </c>
      <c r="Y29" s="90">
        <f t="shared" si="7"/>
        <v>46464</v>
      </c>
    </row>
    <row r="30" spans="1:26" s="23" customFormat="1" ht="22.5" customHeight="1">
      <c r="B30" s="162"/>
      <c r="C30" s="132" t="s">
        <v>47</v>
      </c>
      <c r="D30" s="90">
        <f t="shared" ref="D30:M30" si="8">+D22</f>
        <v>66333.884351699031</v>
      </c>
      <c r="E30" s="90">
        <f t="shared" si="8"/>
        <v>66333.884351699031</v>
      </c>
      <c r="F30" s="90">
        <f t="shared" si="8"/>
        <v>66333.884351699031</v>
      </c>
      <c r="G30" s="90">
        <f t="shared" si="8"/>
        <v>66333.884351699031</v>
      </c>
      <c r="H30" s="90">
        <f t="shared" si="8"/>
        <v>66333.884351699031</v>
      </c>
      <c r="I30" s="90">
        <f t="shared" si="8"/>
        <v>66333.884351699031</v>
      </c>
      <c r="J30" s="90">
        <f t="shared" si="8"/>
        <v>66333.884351699031</v>
      </c>
      <c r="K30" s="90">
        <f t="shared" si="8"/>
        <v>66333.884351699031</v>
      </c>
      <c r="L30" s="90">
        <f t="shared" si="8"/>
        <v>66333.884351699031</v>
      </c>
      <c r="M30" s="90">
        <f t="shared" si="8"/>
        <v>66333.884351699031</v>
      </c>
      <c r="N30" s="90"/>
      <c r="O30" s="90"/>
      <c r="P30" s="90"/>
      <c r="Q30" s="90"/>
      <c r="R30" s="90"/>
      <c r="S30" s="90"/>
      <c r="T30" s="90"/>
      <c r="U30" s="90"/>
      <c r="V30" s="90"/>
      <c r="W30" s="90"/>
      <c r="X30" s="90"/>
      <c r="Y30" s="90"/>
    </row>
    <row r="31" spans="1:26" s="58" customFormat="1" ht="23.45" customHeight="1">
      <c r="A31" s="115"/>
      <c r="B31" s="163"/>
      <c r="C31" s="132" t="s">
        <v>34</v>
      </c>
      <c r="D31" s="91" t="e">
        <f>+SUM(D26:D30)</f>
        <v>#REF!</v>
      </c>
      <c r="E31" s="91" t="e">
        <f t="shared" ref="E31:Y31" si="9">+SUM(E26:E30)</f>
        <v>#REF!</v>
      </c>
      <c r="F31" s="91" t="e">
        <f t="shared" si="9"/>
        <v>#REF!</v>
      </c>
      <c r="G31" s="91" t="e">
        <f t="shared" si="9"/>
        <v>#REF!</v>
      </c>
      <c r="H31" s="91" t="e">
        <f t="shared" si="9"/>
        <v>#REF!</v>
      </c>
      <c r="I31" s="91" t="e">
        <f t="shared" si="9"/>
        <v>#REF!</v>
      </c>
      <c r="J31" s="91" t="e">
        <f t="shared" si="9"/>
        <v>#REF!</v>
      </c>
      <c r="K31" s="91" t="e">
        <f t="shared" si="9"/>
        <v>#REF!</v>
      </c>
      <c r="L31" s="91" t="e">
        <f t="shared" si="9"/>
        <v>#REF!</v>
      </c>
      <c r="M31" s="91" t="e">
        <f t="shared" si="9"/>
        <v>#REF!</v>
      </c>
      <c r="N31" s="91" t="e">
        <f t="shared" si="9"/>
        <v>#REF!</v>
      </c>
      <c r="O31" s="91" t="e">
        <f t="shared" si="9"/>
        <v>#REF!</v>
      </c>
      <c r="P31" s="91" t="e">
        <f t="shared" si="9"/>
        <v>#REF!</v>
      </c>
      <c r="Q31" s="91" t="e">
        <f t="shared" si="9"/>
        <v>#REF!</v>
      </c>
      <c r="R31" s="91" t="e">
        <f t="shared" si="9"/>
        <v>#REF!</v>
      </c>
      <c r="S31" s="91" t="e">
        <f t="shared" si="9"/>
        <v>#REF!</v>
      </c>
      <c r="T31" s="91" t="e">
        <f t="shared" si="9"/>
        <v>#REF!</v>
      </c>
      <c r="U31" s="91" t="e">
        <f t="shared" si="9"/>
        <v>#REF!</v>
      </c>
      <c r="V31" s="91" t="e">
        <f t="shared" si="9"/>
        <v>#REF!</v>
      </c>
      <c r="W31" s="91" t="e">
        <f t="shared" si="9"/>
        <v>#REF!</v>
      </c>
      <c r="X31" s="91" t="e">
        <f t="shared" si="9"/>
        <v>#REF!</v>
      </c>
      <c r="Y31" s="91" t="e">
        <f t="shared" si="9"/>
        <v>#REF!</v>
      </c>
      <c r="Z31" s="57"/>
    </row>
    <row r="32" spans="1:26" s="53" customFormat="1" ht="15.6" customHeight="1">
      <c r="A32" s="60"/>
      <c r="B32" s="50"/>
      <c r="C32" s="104"/>
      <c r="D32" s="51"/>
      <c r="E32" s="51"/>
      <c r="F32" s="51"/>
      <c r="G32" s="62"/>
      <c r="H32" s="51"/>
      <c r="I32" s="51"/>
      <c r="J32" s="93"/>
      <c r="K32" s="92"/>
      <c r="L32" s="51"/>
      <c r="M32" s="92"/>
      <c r="N32" s="51"/>
      <c r="O32" s="51"/>
      <c r="P32" s="51"/>
      <c r="Q32" s="51"/>
      <c r="R32" s="51"/>
      <c r="S32" s="51"/>
      <c r="T32" s="51"/>
      <c r="U32" s="51"/>
      <c r="V32" s="51"/>
      <c r="W32" s="51"/>
      <c r="X32" s="51"/>
      <c r="Y32" s="51"/>
      <c r="Z32" s="52"/>
    </row>
    <row r="33" spans="1:42" s="52" customFormat="1" ht="15.6" customHeight="1" thickBot="1">
      <c r="A33" s="119"/>
      <c r="B33" s="54"/>
      <c r="C33" s="120"/>
      <c r="D33" s="55"/>
      <c r="E33" s="55"/>
      <c r="F33" s="55"/>
      <c r="G33" s="61"/>
      <c r="H33" s="51"/>
      <c r="I33" s="51"/>
      <c r="J33" s="93"/>
      <c r="K33" s="92"/>
      <c r="L33" s="51"/>
      <c r="M33" s="92"/>
      <c r="N33" s="51"/>
      <c r="O33" s="51"/>
      <c r="P33" s="51"/>
      <c r="Q33" s="51"/>
      <c r="R33" s="51"/>
      <c r="S33" s="51"/>
      <c r="T33" s="51"/>
      <c r="U33" s="51"/>
      <c r="V33" s="51"/>
      <c r="W33" s="51"/>
      <c r="X33" s="51"/>
      <c r="Y33" s="51"/>
    </row>
    <row r="34" spans="1:42" s="23" customFormat="1" ht="20.45" customHeight="1" thickBot="1">
      <c r="B34" s="1139" t="s">
        <v>45</v>
      </c>
      <c r="C34" s="1140"/>
      <c r="D34" s="1140"/>
      <c r="E34" s="1140"/>
      <c r="F34" s="1141"/>
      <c r="G34" s="123"/>
      <c r="H34" s="68"/>
      <c r="I34" s="64"/>
      <c r="J34" s="94"/>
      <c r="K34" s="94"/>
      <c r="L34" s="30"/>
      <c r="M34" s="94"/>
      <c r="N34" s="30"/>
      <c r="O34" s="30"/>
      <c r="P34" s="30"/>
      <c r="Q34" s="30"/>
      <c r="R34" s="30"/>
      <c r="S34" s="30"/>
      <c r="T34" s="30"/>
      <c r="U34" s="30"/>
      <c r="V34" s="30"/>
      <c r="W34" s="30"/>
      <c r="X34" s="30"/>
      <c r="Y34" s="30"/>
      <c r="Z34" s="59"/>
      <c r="AA34" s="59"/>
      <c r="AB34" s="59"/>
      <c r="AC34" s="59"/>
      <c r="AD34" s="59"/>
      <c r="AE34" s="59"/>
      <c r="AF34" s="59"/>
      <c r="AG34" s="59"/>
      <c r="AH34" s="59"/>
      <c r="AI34" s="59"/>
      <c r="AJ34" s="59"/>
      <c r="AK34" s="59"/>
      <c r="AL34" s="59"/>
      <c r="AM34" s="59"/>
      <c r="AN34" s="59"/>
      <c r="AO34" s="59"/>
      <c r="AP34" s="59"/>
    </row>
    <row r="35" spans="1:42" s="23" customFormat="1" ht="20.45" customHeight="1">
      <c r="B35" s="121" t="s">
        <v>48</v>
      </c>
      <c r="C35" s="121" t="s">
        <v>1</v>
      </c>
      <c r="D35" s="121"/>
      <c r="E35" s="121"/>
      <c r="F35" s="121"/>
      <c r="G35" s="122"/>
      <c r="H35" s="63"/>
      <c r="I35" s="63"/>
      <c r="J35" s="92"/>
      <c r="K35" s="92"/>
      <c r="L35" s="51"/>
      <c r="M35" s="92"/>
      <c r="N35" s="51"/>
      <c r="O35" s="51"/>
      <c r="P35" s="51"/>
      <c r="Q35" s="51"/>
      <c r="R35" s="51"/>
      <c r="S35" s="51"/>
      <c r="T35" s="51"/>
      <c r="U35" s="51"/>
      <c r="V35" s="51"/>
      <c r="W35" s="51"/>
      <c r="X35" s="51"/>
      <c r="Y35" s="51"/>
      <c r="Z35" s="59"/>
      <c r="AA35" s="59"/>
      <c r="AB35" s="59"/>
      <c r="AC35" s="59"/>
      <c r="AD35" s="59"/>
      <c r="AE35" s="59"/>
      <c r="AF35" s="59"/>
      <c r="AG35" s="59"/>
      <c r="AH35" s="59"/>
      <c r="AI35" s="59"/>
      <c r="AJ35" s="59"/>
      <c r="AK35" s="59"/>
      <c r="AL35" s="59"/>
      <c r="AM35" s="59"/>
      <c r="AN35" s="59"/>
      <c r="AO35" s="59"/>
      <c r="AP35" s="59"/>
    </row>
    <row r="36" spans="1:42" s="15" customFormat="1">
      <c r="B36" s="1156" t="s">
        <v>4</v>
      </c>
      <c r="C36" s="65" t="s">
        <v>33</v>
      </c>
      <c r="D36" s="66" t="e">
        <f>+D26</f>
        <v>#REF!</v>
      </c>
      <c r="E36" s="66" t="e">
        <f t="shared" ref="E36:Y36" si="10">+E21+E18+E15+E12</f>
        <v>#REF!</v>
      </c>
      <c r="F36" s="66" t="e">
        <f t="shared" si="10"/>
        <v>#REF!</v>
      </c>
      <c r="G36" s="66" t="e">
        <f t="shared" si="10"/>
        <v>#REF!</v>
      </c>
      <c r="H36" s="66" t="e">
        <f t="shared" si="10"/>
        <v>#REF!</v>
      </c>
      <c r="I36" s="66" t="e">
        <f t="shared" si="10"/>
        <v>#REF!</v>
      </c>
      <c r="J36" s="66" t="e">
        <f t="shared" si="10"/>
        <v>#REF!</v>
      </c>
      <c r="K36" s="66" t="e">
        <f t="shared" si="10"/>
        <v>#REF!</v>
      </c>
      <c r="L36" s="66" t="e">
        <f t="shared" si="10"/>
        <v>#REF!</v>
      </c>
      <c r="M36" s="66" t="e">
        <f t="shared" si="10"/>
        <v>#REF!</v>
      </c>
      <c r="N36" s="66" t="e">
        <f t="shared" si="10"/>
        <v>#REF!</v>
      </c>
      <c r="O36" s="66" t="e">
        <f t="shared" si="10"/>
        <v>#REF!</v>
      </c>
      <c r="P36" s="66" t="e">
        <f t="shared" si="10"/>
        <v>#REF!</v>
      </c>
      <c r="Q36" s="66" t="e">
        <f t="shared" si="10"/>
        <v>#REF!</v>
      </c>
      <c r="R36" s="66" t="e">
        <f t="shared" si="10"/>
        <v>#REF!</v>
      </c>
      <c r="S36" s="66" t="e">
        <f t="shared" si="10"/>
        <v>#REF!</v>
      </c>
      <c r="T36" s="66" t="e">
        <f t="shared" si="10"/>
        <v>#REF!</v>
      </c>
      <c r="U36" s="66" t="e">
        <f t="shared" si="10"/>
        <v>#REF!</v>
      </c>
      <c r="V36" s="66" t="e">
        <f t="shared" si="10"/>
        <v>#REF!</v>
      </c>
      <c r="W36" s="66" t="e">
        <f t="shared" si="10"/>
        <v>#REF!</v>
      </c>
      <c r="X36" s="66" t="e">
        <f t="shared" si="10"/>
        <v>#REF!</v>
      </c>
      <c r="Y36" s="83" t="e">
        <f t="shared" si="10"/>
        <v>#REF!</v>
      </c>
    </row>
    <row r="37" spans="1:42" s="84" customFormat="1" ht="18" customHeight="1">
      <c r="B37" s="1154"/>
      <c r="C37" s="69" t="s">
        <v>15</v>
      </c>
      <c r="D37" s="69">
        <f>'3-DONNEE DE BASE'!D63</f>
        <v>0</v>
      </c>
      <c r="E37" s="98">
        <f>'3-DONNEE DE BASE'!D63</f>
        <v>0</v>
      </c>
      <c r="F37" s="98">
        <f>'3-DONNEE DE BASE'!D63</f>
        <v>0</v>
      </c>
      <c r="G37" s="98">
        <f>'3-DONNEE DE BASE'!D63</f>
        <v>0</v>
      </c>
      <c r="H37" s="95">
        <f>'3-DONNEE DE BASE'!D63</f>
        <v>0</v>
      </c>
      <c r="I37" s="95">
        <f>'3-DONNEE DE BASE'!D63</f>
        <v>0</v>
      </c>
      <c r="J37" s="95">
        <f>'3-DONNEE DE BASE'!D63</f>
        <v>0</v>
      </c>
      <c r="K37" s="95">
        <f>'3-DONNEE DE BASE'!D63</f>
        <v>0</v>
      </c>
      <c r="L37" s="98">
        <f>'3-DONNEE DE BASE'!D63</f>
        <v>0</v>
      </c>
      <c r="M37" s="98">
        <f>'3-DONNEE DE BASE'!D63</f>
        <v>0</v>
      </c>
      <c r="N37" s="95">
        <f>'3-DONNEE DE BASE'!D63</f>
        <v>0</v>
      </c>
      <c r="O37" s="95">
        <f>'3-DONNEE DE BASE'!D63</f>
        <v>0</v>
      </c>
      <c r="P37" s="95">
        <f>'3-DONNEE DE BASE'!D63</f>
        <v>0</v>
      </c>
      <c r="Q37" s="95">
        <f>'3-DONNEE DE BASE'!D63</f>
        <v>0</v>
      </c>
      <c r="R37" s="95">
        <f>'3-DONNEE DE BASE'!D63</f>
        <v>0</v>
      </c>
      <c r="S37" s="95">
        <f>'3-DONNEE DE BASE'!D63</f>
        <v>0</v>
      </c>
      <c r="T37" s="95">
        <f>'3-DONNEE DE BASE'!D63</f>
        <v>0</v>
      </c>
      <c r="U37" s="95">
        <f>'3-DONNEE DE BASE'!D63</f>
        <v>0</v>
      </c>
      <c r="V37" s="95">
        <f>'3-DONNEE DE BASE'!D63</f>
        <v>0</v>
      </c>
      <c r="W37" s="95">
        <f>'3-DONNEE DE BASE'!D63</f>
        <v>0</v>
      </c>
      <c r="X37" s="95">
        <f>'3-DONNEE DE BASE'!D63</f>
        <v>0</v>
      </c>
      <c r="Y37" s="99">
        <f>'3-DONNEE DE BASE'!D63</f>
        <v>0</v>
      </c>
    </row>
    <row r="38" spans="1:42" s="15" customFormat="1" ht="15.75" thickBot="1">
      <c r="B38" s="1155"/>
      <c r="C38" s="124" t="s">
        <v>16</v>
      </c>
      <c r="D38" s="16" t="e">
        <f t="shared" ref="D38:Y38" si="11">+D37*D36</f>
        <v>#REF!</v>
      </c>
      <c r="E38" s="16" t="e">
        <f t="shared" si="11"/>
        <v>#REF!</v>
      </c>
      <c r="F38" s="16" t="e">
        <f t="shared" si="11"/>
        <v>#REF!</v>
      </c>
      <c r="G38" s="16" t="e">
        <f t="shared" si="11"/>
        <v>#REF!</v>
      </c>
      <c r="H38" s="16" t="e">
        <f t="shared" si="11"/>
        <v>#REF!</v>
      </c>
      <c r="I38" s="16" t="e">
        <f t="shared" si="11"/>
        <v>#REF!</v>
      </c>
      <c r="J38" s="16" t="e">
        <f t="shared" si="11"/>
        <v>#REF!</v>
      </c>
      <c r="K38" s="16" t="e">
        <f t="shared" si="11"/>
        <v>#REF!</v>
      </c>
      <c r="L38" s="16" t="e">
        <f t="shared" si="11"/>
        <v>#REF!</v>
      </c>
      <c r="M38" s="16" t="e">
        <f t="shared" si="11"/>
        <v>#REF!</v>
      </c>
      <c r="N38" s="16" t="e">
        <f t="shared" si="11"/>
        <v>#REF!</v>
      </c>
      <c r="O38" s="16" t="e">
        <f t="shared" si="11"/>
        <v>#REF!</v>
      </c>
      <c r="P38" s="16" t="e">
        <f t="shared" si="11"/>
        <v>#REF!</v>
      </c>
      <c r="Q38" s="16" t="e">
        <f t="shared" si="11"/>
        <v>#REF!</v>
      </c>
      <c r="R38" s="16" t="e">
        <f t="shared" si="11"/>
        <v>#REF!</v>
      </c>
      <c r="S38" s="16" t="e">
        <f t="shared" si="11"/>
        <v>#REF!</v>
      </c>
      <c r="T38" s="16" t="e">
        <f t="shared" si="11"/>
        <v>#REF!</v>
      </c>
      <c r="U38" s="16" t="e">
        <f t="shared" si="11"/>
        <v>#REF!</v>
      </c>
      <c r="V38" s="16" t="e">
        <f t="shared" si="11"/>
        <v>#REF!</v>
      </c>
      <c r="W38" s="16" t="e">
        <f t="shared" si="11"/>
        <v>#REF!</v>
      </c>
      <c r="X38" s="16" t="e">
        <f t="shared" si="11"/>
        <v>#REF!</v>
      </c>
      <c r="Y38" s="82" t="e">
        <f t="shared" si="11"/>
        <v>#REF!</v>
      </c>
    </row>
    <row r="39" spans="1:42" s="15" customFormat="1">
      <c r="B39" s="1153" t="s">
        <v>9</v>
      </c>
      <c r="C39" s="78" t="s">
        <v>33</v>
      </c>
      <c r="D39" s="79">
        <f t="shared" ref="D39:Y39" si="12">+D27</f>
        <v>8.9999999999999993E-3</v>
      </c>
      <c r="E39" s="70">
        <f t="shared" si="12"/>
        <v>9.4500000000000001E-3</v>
      </c>
      <c r="F39" s="70">
        <f t="shared" si="12"/>
        <v>1.0099225000000001</v>
      </c>
      <c r="G39" s="70">
        <f t="shared" si="12"/>
        <v>1.0418625000000001E-2</v>
      </c>
      <c r="H39" s="70">
        <f t="shared" si="12"/>
        <v>1.0939556250000001E-2</v>
      </c>
      <c r="I39" s="70">
        <f t="shared" si="12"/>
        <v>1.1486534062500001E-2</v>
      </c>
      <c r="J39" s="70">
        <f t="shared" si="12"/>
        <v>1.2060860765625002E-2</v>
      </c>
      <c r="K39" s="70">
        <f t="shared" si="12"/>
        <v>1.2663903803906253E-2</v>
      </c>
      <c r="L39" s="70">
        <f t="shared" si="12"/>
        <v>1.3297098994101567E-2</v>
      </c>
      <c r="M39" s="70">
        <f t="shared" si="12"/>
        <v>1.3961953943806647E-2</v>
      </c>
      <c r="N39" s="70">
        <f t="shared" si="12"/>
        <v>1.466005164099698E-2</v>
      </c>
      <c r="O39" s="70">
        <f t="shared" si="12"/>
        <v>1.5393054223046829E-2</v>
      </c>
      <c r="P39" s="70">
        <f t="shared" si="12"/>
        <v>1.6162706934199172E-2</v>
      </c>
      <c r="Q39" s="70">
        <f t="shared" si="12"/>
        <v>1.6970842280909133E-2</v>
      </c>
      <c r="R39" s="70">
        <f t="shared" si="12"/>
        <v>1.781938439495459E-2</v>
      </c>
      <c r="S39" s="70">
        <f t="shared" si="12"/>
        <v>1.8710353614702319E-2</v>
      </c>
      <c r="T39" s="70">
        <f t="shared" si="12"/>
        <v>1.9645871295437437E-2</v>
      </c>
      <c r="U39" s="70">
        <f t="shared" si="12"/>
        <v>2.0628164860209311E-2</v>
      </c>
      <c r="V39" s="70">
        <f t="shared" si="12"/>
        <v>2.1659573103219778E-2</v>
      </c>
      <c r="W39" s="70">
        <f t="shared" si="12"/>
        <v>2.2742551758380768E-2</v>
      </c>
      <c r="X39" s="70">
        <f t="shared" si="12"/>
        <v>2.3879679346299806E-2</v>
      </c>
      <c r="Y39" s="71">
        <f t="shared" si="12"/>
        <v>2.5073663313614797E-2</v>
      </c>
    </row>
    <row r="40" spans="1:42" s="15" customFormat="1">
      <c r="B40" s="1154"/>
      <c r="C40" s="100" t="s">
        <v>15</v>
      </c>
      <c r="D40" s="80">
        <f>+'3-DONNEE DE BASE'!D66</f>
        <v>0</v>
      </c>
      <c r="E40" s="14">
        <f>+E39*D40</f>
        <v>0</v>
      </c>
      <c r="F40" s="14">
        <f>+F39*D40</f>
        <v>0</v>
      </c>
      <c r="G40" s="14">
        <f>+G39*D40</f>
        <v>0</v>
      </c>
      <c r="H40" s="14">
        <f>+H39*D40</f>
        <v>0</v>
      </c>
      <c r="I40" s="14">
        <f>+I39*D40</f>
        <v>0</v>
      </c>
      <c r="J40" s="14">
        <f>+J39*D40</f>
        <v>0</v>
      </c>
      <c r="K40" s="14">
        <f>+K39*D40</f>
        <v>0</v>
      </c>
      <c r="L40" s="14">
        <f>+L39*D40</f>
        <v>0</v>
      </c>
      <c r="M40" s="14">
        <f>+M39*D40</f>
        <v>0</v>
      </c>
      <c r="N40" s="14">
        <f>+N39*D40</f>
        <v>0</v>
      </c>
      <c r="O40" s="14">
        <f>+O39*D40</f>
        <v>0</v>
      </c>
      <c r="P40" s="14">
        <f>+P39*D40</f>
        <v>0</v>
      </c>
      <c r="Q40" s="14">
        <f>+Q39*D40</f>
        <v>0</v>
      </c>
      <c r="R40" s="14">
        <f>+R39*D40</f>
        <v>0</v>
      </c>
      <c r="S40" s="14">
        <f>+S39*D40</f>
        <v>0</v>
      </c>
      <c r="T40" s="14">
        <f>+T39*D40</f>
        <v>0</v>
      </c>
      <c r="U40" s="14">
        <f>+U39*D40</f>
        <v>0</v>
      </c>
      <c r="V40" s="14">
        <f>+V39*D40</f>
        <v>0</v>
      </c>
      <c r="W40" s="14">
        <f>+W39*D40</f>
        <v>0</v>
      </c>
      <c r="X40" s="14">
        <f>+X39*D40</f>
        <v>0</v>
      </c>
      <c r="Y40" s="85">
        <f>+Y39*D40</f>
        <v>0</v>
      </c>
    </row>
    <row r="41" spans="1:42" s="15" customFormat="1" ht="15.75" thickBot="1">
      <c r="B41" s="1155"/>
      <c r="C41" s="125" t="s">
        <v>16</v>
      </c>
      <c r="D41" s="81">
        <f>+D40*D39</f>
        <v>0</v>
      </c>
      <c r="E41" s="72">
        <f>+E40*D40</f>
        <v>0</v>
      </c>
      <c r="F41" s="72">
        <f>+F40*D40</f>
        <v>0</v>
      </c>
      <c r="G41" s="72">
        <f>+G40*D40</f>
        <v>0</v>
      </c>
      <c r="H41" s="72">
        <f>+H40*D40</f>
        <v>0</v>
      </c>
      <c r="I41" s="72">
        <f>+I40*D40</f>
        <v>0</v>
      </c>
      <c r="J41" s="72">
        <f>+J40*D40</f>
        <v>0</v>
      </c>
      <c r="K41" s="72">
        <f>+K40*D40</f>
        <v>0</v>
      </c>
      <c r="L41" s="72">
        <f>+L40*D40</f>
        <v>0</v>
      </c>
      <c r="M41" s="72">
        <f>+M40*D40</f>
        <v>0</v>
      </c>
      <c r="N41" s="72">
        <f>+N40*D40</f>
        <v>0</v>
      </c>
      <c r="O41" s="72">
        <f>+O40*D40</f>
        <v>0</v>
      </c>
      <c r="P41" s="72">
        <f>+P40*D40</f>
        <v>0</v>
      </c>
      <c r="Q41" s="72">
        <f>+Q40*D40</f>
        <v>0</v>
      </c>
      <c r="R41" s="72">
        <f>+R40*D40</f>
        <v>0</v>
      </c>
      <c r="S41" s="72">
        <f>+S40*D40</f>
        <v>0</v>
      </c>
      <c r="T41" s="72">
        <f>+T40*+D40</f>
        <v>0</v>
      </c>
      <c r="U41" s="72">
        <f>+U40*D40</f>
        <v>0</v>
      </c>
      <c r="V41" s="72">
        <f>+V40*D40</f>
        <v>0</v>
      </c>
      <c r="W41" s="72">
        <f>+W40*D40</f>
        <v>0</v>
      </c>
      <c r="X41" s="72">
        <f>+X40*D40</f>
        <v>0</v>
      </c>
      <c r="Y41" s="73">
        <f>+Y40*D40</f>
        <v>0</v>
      </c>
    </row>
    <row r="42" spans="1:42" s="15" customFormat="1">
      <c r="B42" s="1150" t="s">
        <v>13</v>
      </c>
      <c r="C42" s="69" t="s">
        <v>33</v>
      </c>
      <c r="D42" s="77" t="e">
        <f>+D28</f>
        <v>#REF!</v>
      </c>
      <c r="E42" s="77" t="e">
        <f t="shared" ref="E42:Y42" si="13">+E28</f>
        <v>#REF!</v>
      </c>
      <c r="F42" s="77" t="e">
        <f t="shared" si="13"/>
        <v>#REF!</v>
      </c>
      <c r="G42" s="77" t="e">
        <f t="shared" si="13"/>
        <v>#REF!</v>
      </c>
      <c r="H42" s="77" t="e">
        <f t="shared" si="13"/>
        <v>#REF!</v>
      </c>
      <c r="I42" s="77" t="e">
        <f t="shared" si="13"/>
        <v>#REF!</v>
      </c>
      <c r="J42" s="77" t="e">
        <f t="shared" si="13"/>
        <v>#REF!</v>
      </c>
      <c r="K42" s="77" t="e">
        <f t="shared" si="13"/>
        <v>#REF!</v>
      </c>
      <c r="L42" s="77" t="e">
        <f t="shared" si="13"/>
        <v>#REF!</v>
      </c>
      <c r="M42" s="77" t="e">
        <f t="shared" si="13"/>
        <v>#REF!</v>
      </c>
      <c r="N42" s="77" t="e">
        <f t="shared" si="13"/>
        <v>#REF!</v>
      </c>
      <c r="O42" s="77" t="e">
        <f t="shared" si="13"/>
        <v>#REF!</v>
      </c>
      <c r="P42" s="77" t="e">
        <f t="shared" si="13"/>
        <v>#REF!</v>
      </c>
      <c r="Q42" s="77" t="e">
        <f t="shared" si="13"/>
        <v>#REF!</v>
      </c>
      <c r="R42" s="77" t="e">
        <f t="shared" si="13"/>
        <v>#REF!</v>
      </c>
      <c r="S42" s="77" t="e">
        <f t="shared" si="13"/>
        <v>#REF!</v>
      </c>
      <c r="T42" s="77" t="e">
        <f t="shared" si="13"/>
        <v>#REF!</v>
      </c>
      <c r="U42" s="77" t="e">
        <f t="shared" si="13"/>
        <v>#REF!</v>
      </c>
      <c r="V42" s="77" t="e">
        <f t="shared" si="13"/>
        <v>#REF!</v>
      </c>
      <c r="W42" s="77" t="e">
        <f t="shared" si="13"/>
        <v>#REF!</v>
      </c>
      <c r="X42" s="77" t="e">
        <f t="shared" si="13"/>
        <v>#REF!</v>
      </c>
      <c r="Y42" s="77" t="e">
        <f t="shared" si="13"/>
        <v>#REF!</v>
      </c>
    </row>
    <row r="43" spans="1:42" s="15" customFormat="1">
      <c r="B43" s="1151"/>
      <c r="C43" s="76" t="s">
        <v>15</v>
      </c>
      <c r="D43" s="101">
        <f>'3-DONNEE DE BASE'!D64</f>
        <v>0</v>
      </c>
      <c r="E43" s="95">
        <f>'3-DONNEE DE BASE'!D64</f>
        <v>0</v>
      </c>
      <c r="F43" s="95">
        <f>'3-DONNEE DE BASE'!D64</f>
        <v>0</v>
      </c>
      <c r="G43" s="95">
        <f>'3-DONNEE DE BASE'!D64</f>
        <v>0</v>
      </c>
      <c r="H43" s="95">
        <f>'3-DONNEE DE BASE'!D64</f>
        <v>0</v>
      </c>
      <c r="I43" s="95">
        <f>'3-DONNEE DE BASE'!D64</f>
        <v>0</v>
      </c>
      <c r="J43" s="95">
        <f>'3-DONNEE DE BASE'!D64</f>
        <v>0</v>
      </c>
      <c r="K43" s="95">
        <f>'3-DONNEE DE BASE'!D64</f>
        <v>0</v>
      </c>
      <c r="L43" s="95">
        <f>'3-DONNEE DE BASE'!D64</f>
        <v>0</v>
      </c>
      <c r="M43" s="95">
        <f>'3-DONNEE DE BASE'!D64</f>
        <v>0</v>
      </c>
      <c r="N43" s="95">
        <f>'3-DONNEE DE BASE'!D64</f>
        <v>0</v>
      </c>
      <c r="O43" s="95">
        <f>'3-DONNEE DE BASE'!D64</f>
        <v>0</v>
      </c>
      <c r="P43" s="95">
        <f>'3-DONNEE DE BASE'!D64</f>
        <v>0</v>
      </c>
      <c r="Q43" s="95">
        <f>'3-DONNEE DE BASE'!D64</f>
        <v>0</v>
      </c>
      <c r="R43" s="95">
        <f>'3-DONNEE DE BASE'!D64</f>
        <v>0</v>
      </c>
      <c r="S43" s="95">
        <f>'3-DONNEE DE BASE'!D64</f>
        <v>0</v>
      </c>
      <c r="T43" s="95">
        <f>'3-DONNEE DE BASE'!D64</f>
        <v>0</v>
      </c>
      <c r="U43" s="95">
        <f>'3-DONNEE DE BASE'!D64</f>
        <v>0</v>
      </c>
      <c r="V43" s="95">
        <f>'3-DONNEE DE BASE'!D64</f>
        <v>0</v>
      </c>
      <c r="W43" s="95">
        <f>'3-DONNEE DE BASE'!D64</f>
        <v>0</v>
      </c>
      <c r="X43" s="95">
        <f>'3-DONNEE DE BASE'!D64</f>
        <v>0</v>
      </c>
      <c r="Y43" s="99">
        <f>'3-DONNEE DE BASE'!D64</f>
        <v>0</v>
      </c>
    </row>
    <row r="44" spans="1:42" s="15" customFormat="1" ht="15.75" thickBot="1">
      <c r="B44" s="1152"/>
      <c r="C44" s="126" t="s">
        <v>16</v>
      </c>
      <c r="D44" s="75" t="e">
        <f>+D43*D42</f>
        <v>#REF!</v>
      </c>
      <c r="E44" s="72" t="e">
        <f t="shared" ref="E44:Y44" si="14">+E43*E42</f>
        <v>#REF!</v>
      </c>
      <c r="F44" s="72" t="e">
        <f t="shared" si="14"/>
        <v>#REF!</v>
      </c>
      <c r="G44" s="72" t="e">
        <f t="shared" si="14"/>
        <v>#REF!</v>
      </c>
      <c r="H44" s="72" t="e">
        <f t="shared" si="14"/>
        <v>#REF!</v>
      </c>
      <c r="I44" s="72" t="e">
        <f t="shared" si="14"/>
        <v>#REF!</v>
      </c>
      <c r="J44" s="72" t="e">
        <f t="shared" si="14"/>
        <v>#REF!</v>
      </c>
      <c r="K44" s="72" t="e">
        <f t="shared" si="14"/>
        <v>#REF!</v>
      </c>
      <c r="L44" s="72" t="e">
        <f t="shared" si="14"/>
        <v>#REF!</v>
      </c>
      <c r="M44" s="72" t="e">
        <f t="shared" si="14"/>
        <v>#REF!</v>
      </c>
      <c r="N44" s="72" t="e">
        <f t="shared" si="14"/>
        <v>#REF!</v>
      </c>
      <c r="O44" s="72" t="e">
        <f t="shared" si="14"/>
        <v>#REF!</v>
      </c>
      <c r="P44" s="72" t="e">
        <f t="shared" si="14"/>
        <v>#REF!</v>
      </c>
      <c r="Q44" s="72" t="e">
        <f t="shared" si="14"/>
        <v>#REF!</v>
      </c>
      <c r="R44" s="72" t="e">
        <f t="shared" si="14"/>
        <v>#REF!</v>
      </c>
      <c r="S44" s="72" t="e">
        <f t="shared" si="14"/>
        <v>#REF!</v>
      </c>
      <c r="T44" s="72" t="e">
        <f t="shared" si="14"/>
        <v>#REF!</v>
      </c>
      <c r="U44" s="72" t="e">
        <f t="shared" si="14"/>
        <v>#REF!</v>
      </c>
      <c r="V44" s="72" t="e">
        <f t="shared" si="14"/>
        <v>#REF!</v>
      </c>
      <c r="W44" s="72" t="e">
        <f t="shared" si="14"/>
        <v>#REF!</v>
      </c>
      <c r="X44" s="72" t="e">
        <f t="shared" si="14"/>
        <v>#REF!</v>
      </c>
      <c r="Y44" s="73" t="e">
        <f t="shared" si="14"/>
        <v>#REF!</v>
      </c>
    </row>
    <row r="45" spans="1:42" s="15" customFormat="1" ht="14.45" customHeight="1">
      <c r="B45" s="1147" t="s">
        <v>14</v>
      </c>
      <c r="C45" s="69" t="s">
        <v>33</v>
      </c>
      <c r="D45" s="74" t="e">
        <f>+D30+D29</f>
        <v>#REF!</v>
      </c>
      <c r="E45" s="74" t="e">
        <f t="shared" ref="E45:Y45" si="15">+E30+E29</f>
        <v>#REF!</v>
      </c>
      <c r="F45" s="74" t="e">
        <f t="shared" si="15"/>
        <v>#REF!</v>
      </c>
      <c r="G45" s="74" t="e">
        <f t="shared" si="15"/>
        <v>#REF!</v>
      </c>
      <c r="H45" s="74" t="e">
        <f t="shared" si="15"/>
        <v>#REF!</v>
      </c>
      <c r="I45" s="74" t="e">
        <f t="shared" si="15"/>
        <v>#REF!</v>
      </c>
      <c r="J45" s="74" t="e">
        <f t="shared" si="15"/>
        <v>#REF!</v>
      </c>
      <c r="K45" s="74" t="e">
        <f t="shared" si="15"/>
        <v>#REF!</v>
      </c>
      <c r="L45" s="74" t="e">
        <f t="shared" si="15"/>
        <v>#REF!</v>
      </c>
      <c r="M45" s="74" t="e">
        <f t="shared" si="15"/>
        <v>#REF!</v>
      </c>
      <c r="N45" s="74" t="e">
        <f t="shared" si="15"/>
        <v>#REF!</v>
      </c>
      <c r="O45" s="74" t="e">
        <f t="shared" si="15"/>
        <v>#REF!</v>
      </c>
      <c r="P45" s="74" t="e">
        <f t="shared" si="15"/>
        <v>#REF!</v>
      </c>
      <c r="Q45" s="74" t="e">
        <f t="shared" si="15"/>
        <v>#REF!</v>
      </c>
      <c r="R45" s="74" t="e">
        <f t="shared" si="15"/>
        <v>#REF!</v>
      </c>
      <c r="S45" s="74" t="e">
        <f t="shared" si="15"/>
        <v>#REF!</v>
      </c>
      <c r="T45" s="74" t="e">
        <f t="shared" si="15"/>
        <v>#REF!</v>
      </c>
      <c r="U45" s="74" t="e">
        <f t="shared" si="15"/>
        <v>#REF!</v>
      </c>
      <c r="V45" s="74" t="e">
        <f t="shared" si="15"/>
        <v>#REF!</v>
      </c>
      <c r="W45" s="74" t="e">
        <f t="shared" si="15"/>
        <v>#REF!</v>
      </c>
      <c r="X45" s="74" t="e">
        <f t="shared" si="15"/>
        <v>#REF!</v>
      </c>
      <c r="Y45" s="74">
        <f t="shared" si="15"/>
        <v>46464</v>
      </c>
    </row>
    <row r="46" spans="1:42" s="84" customFormat="1" ht="18" customHeight="1">
      <c r="B46" s="1148"/>
      <c r="C46" s="102" t="s">
        <v>15</v>
      </c>
      <c r="D46" s="96">
        <f>'3-DONNEE DE BASE'!D66</f>
        <v>0</v>
      </c>
      <c r="E46" s="96">
        <f>'3-DONNEE DE BASE'!D66</f>
        <v>0</v>
      </c>
      <c r="F46" s="96">
        <f>'3-DONNEE DE BASE'!D66</f>
        <v>0</v>
      </c>
      <c r="G46" s="96">
        <f>'3-DONNEE DE BASE'!D66</f>
        <v>0</v>
      </c>
      <c r="H46" s="96">
        <f>'3-DONNEE DE BASE'!D66</f>
        <v>0</v>
      </c>
      <c r="I46" s="96">
        <f>'3-DONNEE DE BASE'!D66</f>
        <v>0</v>
      </c>
      <c r="J46" s="96">
        <f>'3-DONNEE DE BASE'!D66</f>
        <v>0</v>
      </c>
      <c r="K46" s="96">
        <f>'3-DONNEE DE BASE'!D66</f>
        <v>0</v>
      </c>
      <c r="L46" s="96">
        <f>'3-DONNEE DE BASE'!D66</f>
        <v>0</v>
      </c>
      <c r="M46" s="96">
        <f>'3-DONNEE DE BASE'!D66</f>
        <v>0</v>
      </c>
      <c r="N46" s="96">
        <f>'3-DONNEE DE BASE'!D66</f>
        <v>0</v>
      </c>
      <c r="O46" s="96">
        <f>'3-DONNEE DE BASE'!D66</f>
        <v>0</v>
      </c>
      <c r="P46" s="96">
        <f>'3-DONNEE DE BASE'!D66</f>
        <v>0</v>
      </c>
      <c r="Q46" s="96">
        <f>'3-DONNEE DE BASE'!D66</f>
        <v>0</v>
      </c>
      <c r="R46" s="96">
        <f>'3-DONNEE DE BASE'!D66</f>
        <v>0</v>
      </c>
      <c r="S46" s="96">
        <f>'3-DONNEE DE BASE'!D66</f>
        <v>0</v>
      </c>
      <c r="T46" s="96">
        <f>'3-DONNEE DE BASE'!D66</f>
        <v>0</v>
      </c>
      <c r="U46" s="96">
        <f>'3-DONNEE DE BASE'!D66</f>
        <v>0</v>
      </c>
      <c r="V46" s="96">
        <f>'3-DONNEE DE BASE'!D66</f>
        <v>0</v>
      </c>
      <c r="W46" s="96">
        <f>'3-DONNEE DE BASE'!D66</f>
        <v>0</v>
      </c>
      <c r="X46" s="96">
        <f>'3-DONNEE DE BASE'!D66</f>
        <v>0</v>
      </c>
      <c r="Y46" s="103">
        <f>'3-DONNEE DE BASE'!D66</f>
        <v>0</v>
      </c>
    </row>
    <row r="47" spans="1:42" s="15" customFormat="1" ht="15.75" thickBot="1">
      <c r="B47" s="1149"/>
      <c r="C47" s="127" t="s">
        <v>16</v>
      </c>
      <c r="D47" s="72" t="e">
        <f>+D45*D46</f>
        <v>#REF!</v>
      </c>
      <c r="E47" s="72" t="e">
        <f t="shared" ref="E47:Y47" si="16">+E46*E45</f>
        <v>#REF!</v>
      </c>
      <c r="F47" s="72" t="e">
        <f t="shared" si="16"/>
        <v>#REF!</v>
      </c>
      <c r="G47" s="72" t="e">
        <f t="shared" si="16"/>
        <v>#REF!</v>
      </c>
      <c r="H47" s="72" t="e">
        <f t="shared" si="16"/>
        <v>#REF!</v>
      </c>
      <c r="I47" s="72" t="e">
        <f t="shared" si="16"/>
        <v>#REF!</v>
      </c>
      <c r="J47" s="72" t="e">
        <f t="shared" si="16"/>
        <v>#REF!</v>
      </c>
      <c r="K47" s="72" t="e">
        <f t="shared" si="16"/>
        <v>#REF!</v>
      </c>
      <c r="L47" s="72" t="e">
        <f t="shared" si="16"/>
        <v>#REF!</v>
      </c>
      <c r="M47" s="72" t="e">
        <f t="shared" si="16"/>
        <v>#REF!</v>
      </c>
      <c r="N47" s="72" t="e">
        <f t="shared" si="16"/>
        <v>#REF!</v>
      </c>
      <c r="O47" s="72" t="e">
        <f t="shared" si="16"/>
        <v>#REF!</v>
      </c>
      <c r="P47" s="72" t="e">
        <f t="shared" si="16"/>
        <v>#REF!</v>
      </c>
      <c r="Q47" s="72" t="e">
        <f t="shared" si="16"/>
        <v>#REF!</v>
      </c>
      <c r="R47" s="72" t="e">
        <f t="shared" si="16"/>
        <v>#REF!</v>
      </c>
      <c r="S47" s="72" t="e">
        <f t="shared" si="16"/>
        <v>#REF!</v>
      </c>
      <c r="T47" s="72" t="e">
        <f t="shared" si="16"/>
        <v>#REF!</v>
      </c>
      <c r="U47" s="72" t="e">
        <f t="shared" si="16"/>
        <v>#REF!</v>
      </c>
      <c r="V47" s="72" t="e">
        <f t="shared" si="16"/>
        <v>#REF!</v>
      </c>
      <c r="W47" s="72" t="e">
        <f t="shared" si="16"/>
        <v>#REF!</v>
      </c>
      <c r="X47" s="72" t="e">
        <f t="shared" si="16"/>
        <v>#REF!</v>
      </c>
      <c r="Y47" s="73">
        <f t="shared" si="16"/>
        <v>0</v>
      </c>
    </row>
    <row r="48" spans="1:42" s="13" customFormat="1" ht="43.5" customHeight="1">
      <c r="B48" s="1145" t="s">
        <v>11</v>
      </c>
      <c r="C48" s="1146"/>
      <c r="D48" s="140" t="e">
        <f>+D47+D44+D41+D38</f>
        <v>#REF!</v>
      </c>
      <c r="E48" s="140" t="e">
        <f t="shared" ref="E48:Y48" si="17">+E47+E44+E41+E38</f>
        <v>#REF!</v>
      </c>
      <c r="F48" s="140" t="e">
        <f t="shared" si="17"/>
        <v>#REF!</v>
      </c>
      <c r="G48" s="140" t="e">
        <f t="shared" si="17"/>
        <v>#REF!</v>
      </c>
      <c r="H48" s="140" t="e">
        <f t="shared" si="17"/>
        <v>#REF!</v>
      </c>
      <c r="I48" s="140" t="e">
        <f t="shared" si="17"/>
        <v>#REF!</v>
      </c>
      <c r="J48" s="141" t="e">
        <f t="shared" si="17"/>
        <v>#REF!</v>
      </c>
      <c r="K48" s="141" t="e">
        <f>+K47+K44+K41+K38</f>
        <v>#REF!</v>
      </c>
      <c r="L48" s="140" t="e">
        <f t="shared" si="17"/>
        <v>#REF!</v>
      </c>
      <c r="M48" s="141" t="e">
        <f t="shared" si="17"/>
        <v>#REF!</v>
      </c>
      <c r="N48" s="140" t="e">
        <f t="shared" si="17"/>
        <v>#REF!</v>
      </c>
      <c r="O48" s="140" t="e">
        <f t="shared" si="17"/>
        <v>#REF!</v>
      </c>
      <c r="P48" s="140" t="e">
        <f t="shared" si="17"/>
        <v>#REF!</v>
      </c>
      <c r="Q48" s="140" t="e">
        <f t="shared" si="17"/>
        <v>#REF!</v>
      </c>
      <c r="R48" s="140" t="e">
        <f t="shared" si="17"/>
        <v>#REF!</v>
      </c>
      <c r="S48" s="140" t="e">
        <f t="shared" si="17"/>
        <v>#REF!</v>
      </c>
      <c r="T48" s="140" t="e">
        <f t="shared" si="17"/>
        <v>#REF!</v>
      </c>
      <c r="U48" s="140" t="e">
        <f t="shared" si="17"/>
        <v>#REF!</v>
      </c>
      <c r="V48" s="140" t="e">
        <f t="shared" si="17"/>
        <v>#REF!</v>
      </c>
      <c r="W48" s="140" t="e">
        <f t="shared" si="17"/>
        <v>#REF!</v>
      </c>
      <c r="X48" s="140" t="e">
        <f t="shared" si="17"/>
        <v>#REF!</v>
      </c>
      <c r="Y48" s="140" t="e">
        <f t="shared" si="17"/>
        <v>#REF!</v>
      </c>
    </row>
    <row r="49" spans="2:4">
      <c r="D49" s="29"/>
    </row>
    <row r="51" spans="2:4">
      <c r="B51" s="1" t="s">
        <v>71</v>
      </c>
      <c r="C51" s="1">
        <v>2023</v>
      </c>
      <c r="D51" s="1">
        <f>+C51+1</f>
        <v>2024</v>
      </c>
    </row>
    <row r="52" spans="2:4">
      <c r="B52" s="1" t="s">
        <v>115</v>
      </c>
    </row>
    <row r="53" spans="2:4">
      <c r="B53" s="1" t="s">
        <v>116</v>
      </c>
    </row>
    <row r="54" spans="2:4">
      <c r="B54" s="1" t="s">
        <v>7</v>
      </c>
    </row>
  </sheetData>
  <mergeCells count="8">
    <mergeCell ref="C3:H4"/>
    <mergeCell ref="B34:F34"/>
    <mergeCell ref="B8:G8"/>
    <mergeCell ref="B48:C48"/>
    <mergeCell ref="B45:B47"/>
    <mergeCell ref="B42:B44"/>
    <mergeCell ref="B39:B41"/>
    <mergeCell ref="B36:B3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13</vt:i4>
      </vt:variant>
      <vt:variant>
        <vt:lpstr>Plages nommées</vt:lpstr>
      </vt:variant>
      <vt:variant>
        <vt:i4>3</vt:i4>
      </vt:variant>
    </vt:vector>
  </HeadingPairs>
  <TitlesOfParts>
    <vt:vector size="16" baseType="lpstr">
      <vt:lpstr>1-Préambule</vt:lpstr>
      <vt:lpstr>2-Conception de l'outil</vt:lpstr>
      <vt:lpstr>3-DONNEE DE BASE</vt:lpstr>
      <vt:lpstr>4-Résultat Disposition à payer </vt:lpstr>
      <vt:lpstr>5-Résultats Cout d'évitement </vt:lpstr>
      <vt:lpstr>6-Cout économique du projet</vt:lpstr>
      <vt:lpstr>7-Charges d'exp - économique</vt:lpstr>
      <vt:lpstr>8-Coefficient de conversion </vt:lpstr>
      <vt:lpstr>5-Cout  économique  charg d'exp</vt:lpstr>
      <vt:lpstr>-9-  Bénéfice cout  d'évitemen </vt:lpstr>
      <vt:lpstr>10-TRE et VAN - Cout d'évitemen</vt:lpstr>
      <vt:lpstr>11-Bénéfice  disposition à paye</vt:lpstr>
      <vt:lpstr>12-TRE et VAN Disposition à pay</vt:lpstr>
      <vt:lpstr>'3-DONNEE DE BASE'!Zone_d_impression</vt:lpstr>
      <vt:lpstr>'4-Résultat Disposition à payer '!Zone_d_impression</vt:lpstr>
      <vt:lpstr>'5-Résultats Cout d''évitement '!Zone_d_impression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2020-09-30T13:37:08Z</cp:lastPrinted>
  <dcterms:created xsi:type="dcterms:W3CDTF">2006-09-16T00:00:00Z</dcterms:created>
  <dcterms:modified xsi:type="dcterms:W3CDTF">2020-10-20T14:10:02Z</dcterms:modified>
</cp:coreProperties>
</file>