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Override PartName="/xl/charts/style4.xml" ContentType="application/vnd.ms-office.chartsty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style2.xml" ContentType="application/vnd.ms-office.chartstyle+xml"/>
  <Override PartName="/xl/charts/style3.xml" ContentType="application/vnd.ms-office.chartstyle+xml"/>
  <Override PartName="/xl/charts/style1.xml" ContentType="application/vnd.ms-office.chartstyle+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charts/colors4.xml" ContentType="application/vnd.ms-office.chartcolorstyle+xml"/>
  <Override PartName="/xl/sharedStrings.xml" ContentType="application/vnd.openxmlformats-officedocument.spreadsheetml.sharedStrings+xml"/>
  <Override PartName="/xl/charts/colors2.xml" ContentType="application/vnd.ms-office.chartcolorstyle+xml"/>
  <Override PartName="/xl/charts/colors3.xml" ContentType="application/vnd.ms-office.chartcolorstyle+xml"/>
  <Override PartName="/xl/charts/colors1.xml" ContentType="application/vnd.ms-office.chartcolorstyl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ate1904="1" showInkAnnotation="0" autoCompressPictures="0"/>
  <bookViews>
    <workbookView xWindow="0" yWindow="465" windowWidth="28800" windowHeight="16425" tabRatio="921" firstSheet="1" activeTab="1"/>
  </bookViews>
  <sheets>
    <sheet name="0-Introduction " sheetId="46" r:id="rId1"/>
    <sheet name="1-CONCEPTION DE L'OUTIL" sheetId="49" r:id="rId2"/>
    <sheet name="2-PRESENTATION DU PROJET" sheetId="61" r:id="rId3"/>
    <sheet name="3-DONNEES DE BASE" sheetId="51" r:id="rId4"/>
    <sheet name="4-RESULTATS AVEC TVA" sheetId="50" r:id="rId5"/>
    <sheet name="5-RESULTAT SANS TVA" sheetId="60" r:id="rId6"/>
    <sheet name="6-ANALYSE DE SENSIBILITE" sheetId="59" r:id="rId7"/>
    <sheet name="7-Calcul de base AVEC   TVA" sheetId="12" r:id="rId8"/>
    <sheet name="8-Calcul de base SANS TVA" sheetId="56" r:id="rId9"/>
    <sheet name="9-Cout  projet avec et sans TVA" sheetId="55" r:id="rId10"/>
  </sheets>
  <definedNames>
    <definedName name="_xlnm.Print_Area" localSheetId="1">'1-CONCEPTION DE L''OUTIL'!$B$1:$G$5</definedName>
    <definedName name="_xlnm.Print_Area" localSheetId="3">'3-DONNEES DE BASE'!$D$2:$L$113</definedName>
    <definedName name="_xlnm.Print_Area" localSheetId="4">'4-RESULTATS AVEC TVA'!$B$2:$K$49</definedName>
    <definedName name="_xlnm.Print_Area" localSheetId="5">'5-RESULTAT SANS TVA'!$B$2:$K$49</definedName>
    <definedName name="_xlnm.Print_Area" localSheetId="6">'6-ANALYSE DE SENSIBILITE'!$B$2:$J$19</definedName>
  </definedNames>
  <calcPr calcId="124519"/>
</workbook>
</file>

<file path=xl/calcChain.xml><?xml version="1.0" encoding="utf-8"?>
<calcChain xmlns="http://schemas.openxmlformats.org/spreadsheetml/2006/main">
  <c r="C36" i="50"/>
  <c r="C35"/>
  <c r="B4" i="60" l="1"/>
  <c r="B3"/>
  <c r="B4" i="50"/>
  <c r="B3"/>
  <c r="B4" i="59"/>
  <c r="B3"/>
  <c r="E113" i="51"/>
  <c r="C36" i="60" l="1"/>
  <c r="C35"/>
  <c r="F17" i="59" l="1"/>
  <c r="F16"/>
  <c r="F15"/>
  <c r="F14"/>
  <c r="F13"/>
  <c r="F11"/>
  <c r="F10"/>
  <c r="F9"/>
  <c r="C10" i="56" l="1"/>
  <c r="C9"/>
  <c r="C8"/>
  <c r="C10" i="12"/>
  <c r="C9"/>
  <c r="C8"/>
  <c r="G10" i="51"/>
  <c r="D11" i="12" s="1"/>
  <c r="Q40" i="55"/>
  <c r="R40" s="1"/>
  <c r="N40"/>
  <c r="O40" s="1"/>
  <c r="K40"/>
  <c r="L40" s="1"/>
  <c r="H40"/>
  <c r="I40" s="1"/>
  <c r="Q25"/>
  <c r="R25" s="1"/>
  <c r="N25"/>
  <c r="O25" s="1"/>
  <c r="K25"/>
  <c r="L25" s="1"/>
  <c r="H25"/>
  <c r="I25" s="1"/>
  <c r="M7"/>
  <c r="P7" s="1"/>
  <c r="J17"/>
  <c r="C21" i="60"/>
  <c r="C21" i="50"/>
  <c r="D63" i="12" l="1"/>
  <c r="D33" i="56" l="1"/>
  <c r="E5" i="51"/>
  <c r="D33" i="12"/>
  <c r="H34"/>
  <c r="H32" l="1"/>
  <c r="H33" s="1"/>
  <c r="F26" i="55"/>
  <c r="G26" s="1"/>
  <c r="J26" s="1"/>
  <c r="E95" i="12" l="1"/>
  <c r="I26" i="55" l="1"/>
  <c r="L26" s="1"/>
  <c r="H26"/>
  <c r="K26" s="1"/>
  <c r="H13" i="59" l="1"/>
  <c r="H16"/>
  <c r="H15"/>
  <c r="H14"/>
  <c r="H11"/>
  <c r="H10"/>
  <c r="H9"/>
  <c r="C33" i="50"/>
  <c r="C33" i="60"/>
  <c r="G12" i="12" l="1"/>
  <c r="E10" i="60"/>
  <c r="E11" s="1"/>
  <c r="E12" s="1"/>
  <c r="E13" s="1"/>
  <c r="E14" s="1"/>
  <c r="E15" s="1"/>
  <c r="E16" s="1"/>
  <c r="E17" s="1"/>
  <c r="E18" s="1"/>
  <c r="E19" s="1"/>
  <c r="E20" s="1"/>
  <c r="E21" s="1"/>
  <c r="E22" s="1"/>
  <c r="E23" s="1"/>
  <c r="E24" s="1"/>
  <c r="E25" s="1"/>
  <c r="E26" s="1"/>
  <c r="E27" s="1"/>
  <c r="E28" s="1"/>
  <c r="E29" s="1"/>
  <c r="E30" s="1"/>
  <c r="E31" s="1"/>
  <c r="C32"/>
  <c r="C31"/>
  <c r="C29"/>
  <c r="C28"/>
  <c r="C27"/>
  <c r="B23"/>
  <c r="B22"/>
  <c r="C20"/>
  <c r="C19"/>
  <c r="B18"/>
  <c r="B17"/>
  <c r="C12"/>
  <c r="B12"/>
  <c r="C11"/>
  <c r="C10"/>
  <c r="H34" i="56" l="1"/>
  <c r="F91" i="12" l="1"/>
  <c r="F95" s="1"/>
  <c r="G91" l="1"/>
  <c r="G95" s="1"/>
  <c r="V28" i="56"/>
  <c r="Q28"/>
  <c r="L28"/>
  <c r="Q27" i="12"/>
  <c r="Q27" i="56"/>
  <c r="L28" i="12"/>
  <c r="V28"/>
  <c r="Q28"/>
  <c r="H91" l="1"/>
  <c r="D20"/>
  <c r="F27" i="55"/>
  <c r="G27" s="1"/>
  <c r="J27" s="1"/>
  <c r="F28"/>
  <c r="G28" s="1"/>
  <c r="F29"/>
  <c r="G29" s="1"/>
  <c r="F41"/>
  <c r="F31"/>
  <c r="F30"/>
  <c r="F14"/>
  <c r="F13"/>
  <c r="J13" s="1"/>
  <c r="E20" i="12" s="1"/>
  <c r="F12" i="55"/>
  <c r="D19" i="12" s="1"/>
  <c r="F10" i="55"/>
  <c r="H9"/>
  <c r="D16" i="56" s="1"/>
  <c r="F9" i="55"/>
  <c r="D16" i="12" s="1"/>
  <c r="B18" i="50"/>
  <c r="I91" i="12" l="1"/>
  <c r="H95"/>
  <c r="J10" i="55"/>
  <c r="E17" i="12" s="1"/>
  <c r="D17"/>
  <c r="M14" i="55"/>
  <c r="F21" i="12" s="1"/>
  <c r="D21"/>
  <c r="M10" i="55"/>
  <c r="J14"/>
  <c r="E21" i="12" s="1"/>
  <c r="M13" i="55"/>
  <c r="F20" i="12" s="1"/>
  <c r="J12" i="55"/>
  <c r="E19" i="12" s="1"/>
  <c r="M12" i="55"/>
  <c r="G31"/>
  <c r="J9"/>
  <c r="E16" i="12" s="1"/>
  <c r="F19"/>
  <c r="H29" i="55"/>
  <c r="H28"/>
  <c r="F32"/>
  <c r="H27"/>
  <c r="K27" s="1"/>
  <c r="I30"/>
  <c r="H31" l="1"/>
  <c r="K31" s="1"/>
  <c r="J31"/>
  <c r="H57" i="12"/>
  <c r="H59" i="56"/>
  <c r="J91" i="12"/>
  <c r="I95"/>
  <c r="P13" i="55"/>
  <c r="G20" i="12" s="1"/>
  <c r="H32" i="55"/>
  <c r="K32" s="1"/>
  <c r="G32"/>
  <c r="J32" s="1"/>
  <c r="F19"/>
  <c r="G19" s="1"/>
  <c r="H19" s="1"/>
  <c r="I32"/>
  <c r="L32" s="1"/>
  <c r="I28"/>
  <c r="I57" i="12" l="1"/>
  <c r="I59" i="56"/>
  <c r="K91" i="12"/>
  <c r="J95"/>
  <c r="I29" i="55"/>
  <c r="G19" i="12"/>
  <c r="P12" i="55"/>
  <c r="P10"/>
  <c r="G17" i="12" s="1"/>
  <c r="P9" i="55"/>
  <c r="G16" i="12" s="1"/>
  <c r="M9" i="55"/>
  <c r="I27"/>
  <c r="L27" s="1"/>
  <c r="P14"/>
  <c r="G21" i="12" s="1"/>
  <c r="I31" i="55"/>
  <c r="L31" s="1"/>
  <c r="C20" i="50"/>
  <c r="C19"/>
  <c r="C29"/>
  <c r="J57" i="12" l="1"/>
  <c r="J59" i="56"/>
  <c r="L91" i="12"/>
  <c r="F16"/>
  <c r="F17"/>
  <c r="H14" i="56"/>
  <c r="M91" i="12" l="1"/>
  <c r="AA55"/>
  <c r="Z55"/>
  <c r="Y55"/>
  <c r="X55"/>
  <c r="W55"/>
  <c r="U55"/>
  <c r="T55"/>
  <c r="S55"/>
  <c r="R55"/>
  <c r="P55"/>
  <c r="O55"/>
  <c r="N55"/>
  <c r="M55"/>
  <c r="K55"/>
  <c r="J55"/>
  <c r="I55"/>
  <c r="H55"/>
  <c r="AA54"/>
  <c r="Z54"/>
  <c r="Y54"/>
  <c r="X54"/>
  <c r="W54"/>
  <c r="V54"/>
  <c r="U54"/>
  <c r="T54"/>
  <c r="S54"/>
  <c r="R54"/>
  <c r="P54"/>
  <c r="O54"/>
  <c r="N54"/>
  <c r="M54"/>
  <c r="L54"/>
  <c r="K54"/>
  <c r="J54"/>
  <c r="I54"/>
  <c r="J29"/>
  <c r="N91" l="1"/>
  <c r="AA9" i="50"/>
  <c r="Z9"/>
  <c r="O91" i="12" l="1"/>
  <c r="H32" i="56"/>
  <c r="P91" i="12" l="1"/>
  <c r="Q91" l="1"/>
  <c r="C32"/>
  <c r="F81"/>
  <c r="G81" s="1"/>
  <c r="H81" s="1"/>
  <c r="I81" s="1"/>
  <c r="J81" s="1"/>
  <c r="K81" s="1"/>
  <c r="L81" s="1"/>
  <c r="M81" s="1"/>
  <c r="N81" s="1"/>
  <c r="O81" s="1"/>
  <c r="P81" s="1"/>
  <c r="Q81" s="1"/>
  <c r="R81" s="1"/>
  <c r="S81" s="1"/>
  <c r="T81" s="1"/>
  <c r="U81" s="1"/>
  <c r="V81" s="1"/>
  <c r="W81" s="1"/>
  <c r="X81" s="1"/>
  <c r="Y81" s="1"/>
  <c r="Z81" s="1"/>
  <c r="AA81" s="1"/>
  <c r="R91" l="1"/>
  <c r="Q55"/>
  <c r="H79" i="56"/>
  <c r="I79" s="1"/>
  <c r="J79" s="1"/>
  <c r="K79" s="1"/>
  <c r="L79" s="1"/>
  <c r="M79" s="1"/>
  <c r="N79" s="1"/>
  <c r="O79" s="1"/>
  <c r="P79" s="1"/>
  <c r="Q79" s="1"/>
  <c r="R79" s="1"/>
  <c r="S79" s="1"/>
  <c r="T79" s="1"/>
  <c r="U79" s="1"/>
  <c r="V79" s="1"/>
  <c r="W79" s="1"/>
  <c r="X79" s="1"/>
  <c r="Y79" s="1"/>
  <c r="Z79" s="1"/>
  <c r="AA79" s="1"/>
  <c r="F79"/>
  <c r="H59" i="55"/>
  <c r="X34" i="56"/>
  <c r="D43" i="12"/>
  <c r="D41"/>
  <c r="H62" i="55"/>
  <c r="H61"/>
  <c r="H60"/>
  <c r="H58"/>
  <c r="H57"/>
  <c r="T47"/>
  <c r="T46"/>
  <c r="T42"/>
  <c r="T41"/>
  <c r="S91" i="12" l="1"/>
  <c r="R95"/>
  <c r="L55"/>
  <c r="D28"/>
  <c r="L29"/>
  <c r="V29"/>
  <c r="V55"/>
  <c r="I34" i="56"/>
  <c r="J34"/>
  <c r="AA34"/>
  <c r="L34"/>
  <c r="T34"/>
  <c r="Q34"/>
  <c r="R34"/>
  <c r="S34"/>
  <c r="M34"/>
  <c r="U34"/>
  <c r="Y34"/>
  <c r="Z34"/>
  <c r="K34"/>
  <c r="N34"/>
  <c r="V34"/>
  <c r="O34"/>
  <c r="W34"/>
  <c r="P34"/>
  <c r="N26" i="55"/>
  <c r="N27"/>
  <c r="R57" i="12" l="1"/>
  <c r="R59" i="56"/>
  <c r="T91" i="12"/>
  <c r="S95"/>
  <c r="M27" i="55"/>
  <c r="L28"/>
  <c r="J28"/>
  <c r="K28"/>
  <c r="N28" s="1"/>
  <c r="M26"/>
  <c r="S57" i="12" l="1"/>
  <c r="S59" i="56"/>
  <c r="U91" i="12"/>
  <c r="T95"/>
  <c r="M28" i="55"/>
  <c r="O28"/>
  <c r="T57" i="12" l="1"/>
  <c r="T59" s="1"/>
  <c r="J24" i="50" s="1"/>
  <c r="T59" i="56"/>
  <c r="S60"/>
  <c r="S61"/>
  <c r="J23" i="60" s="1"/>
  <c r="V91" i="12"/>
  <c r="U95"/>
  <c r="C31" i="50"/>
  <c r="C32"/>
  <c r="D13" i="56"/>
  <c r="D8"/>
  <c r="E8" l="1"/>
  <c r="U57" i="12"/>
  <c r="U59" s="1"/>
  <c r="J25" i="50" s="1"/>
  <c r="U59" i="56"/>
  <c r="T60"/>
  <c r="J24" i="60" s="1"/>
  <c r="T61" i="56"/>
  <c r="W91" i="12"/>
  <c r="V95"/>
  <c r="G41" i="55"/>
  <c r="M41" s="1"/>
  <c r="D44" i="56"/>
  <c r="D42"/>
  <c r="D10"/>
  <c r="E10" s="1"/>
  <c r="F10" s="1"/>
  <c r="G10" s="1"/>
  <c r="D9"/>
  <c r="E9" s="1"/>
  <c r="F9" s="1"/>
  <c r="G9" s="1"/>
  <c r="D11" l="1"/>
  <c r="F8"/>
  <c r="E11"/>
  <c r="V57" i="12"/>
  <c r="V59" s="1"/>
  <c r="J26" i="50" s="1"/>
  <c r="V59" i="56"/>
  <c r="U60"/>
  <c r="U61"/>
  <c r="J25" i="60" s="1"/>
  <c r="X91" i="12"/>
  <c r="W95"/>
  <c r="H41" i="55"/>
  <c r="N41" s="1"/>
  <c r="G8" i="56" l="1"/>
  <c r="G11" s="1"/>
  <c r="F11"/>
  <c r="W57" i="12"/>
  <c r="W59" s="1"/>
  <c r="J27" i="50" s="1"/>
  <c r="W59" i="56"/>
  <c r="Y91" i="12"/>
  <c r="X95"/>
  <c r="P41" i="55"/>
  <c r="Q41"/>
  <c r="D10" i="12"/>
  <c r="E10" s="1"/>
  <c r="F10" s="1"/>
  <c r="G10" s="1"/>
  <c r="H10" s="1"/>
  <c r="I10" s="1"/>
  <c r="J10" s="1"/>
  <c r="K10" s="1"/>
  <c r="L10" s="1"/>
  <c r="M10" s="1"/>
  <c r="N10" s="1"/>
  <c r="O10" s="1"/>
  <c r="P10" s="1"/>
  <c r="Q10" s="1"/>
  <c r="R10" s="1"/>
  <c r="S10" s="1"/>
  <c r="T10" s="1"/>
  <c r="U10" s="1"/>
  <c r="V10" s="1"/>
  <c r="W10" s="1"/>
  <c r="X10" s="1"/>
  <c r="Y10" s="1"/>
  <c r="Z10" s="1"/>
  <c r="AA10" s="1"/>
  <c r="D9"/>
  <c r="D8"/>
  <c r="E8" s="1"/>
  <c r="F8" s="1"/>
  <c r="G8" s="1"/>
  <c r="H8" s="1"/>
  <c r="I8" s="1"/>
  <c r="J8" s="1"/>
  <c r="K8" s="1"/>
  <c r="L8" s="1"/>
  <c r="M8" s="1"/>
  <c r="N8" s="1"/>
  <c r="O8" s="1"/>
  <c r="P8" s="1"/>
  <c r="Q8" s="1"/>
  <c r="R8" s="1"/>
  <c r="S8" s="1"/>
  <c r="T8" s="1"/>
  <c r="U8" s="1"/>
  <c r="V8" s="1"/>
  <c r="W8" s="1"/>
  <c r="X8" s="1"/>
  <c r="Y8" s="1"/>
  <c r="Z8" s="1"/>
  <c r="AA8" s="1"/>
  <c r="X57" l="1"/>
  <c r="X59" s="1"/>
  <c r="J28" i="50" s="1"/>
  <c r="X59" i="56"/>
  <c r="W60"/>
  <c r="W61"/>
  <c r="J27" i="60" s="1"/>
  <c r="Z91" i="12"/>
  <c r="Y95"/>
  <c r="C34" i="56"/>
  <c r="C32"/>
  <c r="D14"/>
  <c r="D62" i="12"/>
  <c r="D61"/>
  <c r="X60" i="56" l="1"/>
  <c r="X61"/>
  <c r="J28" i="60" s="1"/>
  <c r="Y57" i="12"/>
  <c r="Y59" s="1"/>
  <c r="J29" i="50" s="1"/>
  <c r="Y59" i="56"/>
  <c r="AA91" i="12"/>
  <c r="AA95" s="1"/>
  <c r="Z95"/>
  <c r="D63" i="56"/>
  <c r="D62"/>
  <c r="Z57" i="12" l="1"/>
  <c r="Z59" s="1"/>
  <c r="J30" i="50" s="1"/>
  <c r="Z59" i="56"/>
  <c r="AA57" i="12"/>
  <c r="AA59" s="1"/>
  <c r="J31" i="50" s="1"/>
  <c r="AA59" i="56"/>
  <c r="Y60"/>
  <c r="Y61"/>
  <c r="J29" i="60" s="1"/>
  <c r="B4" i="56"/>
  <c r="H4"/>
  <c r="C7"/>
  <c r="H10"/>
  <c r="H12"/>
  <c r="I12"/>
  <c r="J12"/>
  <c r="K12"/>
  <c r="L12"/>
  <c r="M12"/>
  <c r="N12"/>
  <c r="O12"/>
  <c r="P12"/>
  <c r="Q12"/>
  <c r="R12"/>
  <c r="S12"/>
  <c r="T12"/>
  <c r="U12"/>
  <c r="V12"/>
  <c r="W12"/>
  <c r="X12"/>
  <c r="Y12"/>
  <c r="Z12"/>
  <c r="AA12"/>
  <c r="H13"/>
  <c r="I13"/>
  <c r="J13"/>
  <c r="K13"/>
  <c r="L13"/>
  <c r="M13"/>
  <c r="N13"/>
  <c r="O13"/>
  <c r="P13"/>
  <c r="Q13"/>
  <c r="R13"/>
  <c r="S13"/>
  <c r="T13"/>
  <c r="U13"/>
  <c r="V13"/>
  <c r="W13"/>
  <c r="X13"/>
  <c r="Y13"/>
  <c r="Z13"/>
  <c r="AA13"/>
  <c r="I14"/>
  <c r="J14"/>
  <c r="K14"/>
  <c r="L14"/>
  <c r="M14"/>
  <c r="N14"/>
  <c r="O14"/>
  <c r="P14"/>
  <c r="Q14"/>
  <c r="R14"/>
  <c r="S14"/>
  <c r="T14"/>
  <c r="U14"/>
  <c r="V14"/>
  <c r="W14"/>
  <c r="X14"/>
  <c r="Y14"/>
  <c r="Z14"/>
  <c r="AA14"/>
  <c r="H15"/>
  <c r="I15"/>
  <c r="J15"/>
  <c r="K15"/>
  <c r="L15"/>
  <c r="M15"/>
  <c r="N15"/>
  <c r="O15"/>
  <c r="P15"/>
  <c r="Q15"/>
  <c r="R15"/>
  <c r="S15"/>
  <c r="T15"/>
  <c r="U15"/>
  <c r="V15"/>
  <c r="W15"/>
  <c r="X15"/>
  <c r="Y15"/>
  <c r="Z15"/>
  <c r="AA15"/>
  <c r="B16"/>
  <c r="H52"/>
  <c r="H64"/>
  <c r="I64"/>
  <c r="E66"/>
  <c r="F66"/>
  <c r="G66"/>
  <c r="H66"/>
  <c r="I66"/>
  <c r="J66"/>
  <c r="K66"/>
  <c r="L66"/>
  <c r="M66"/>
  <c r="N66"/>
  <c r="O66"/>
  <c r="P66"/>
  <c r="R66"/>
  <c r="S66"/>
  <c r="T66"/>
  <c r="U66"/>
  <c r="V66"/>
  <c r="W66"/>
  <c r="X66"/>
  <c r="Y66"/>
  <c r="Z66"/>
  <c r="AA66"/>
  <c r="E67"/>
  <c r="F67"/>
  <c r="G67"/>
  <c r="H67"/>
  <c r="I67"/>
  <c r="J67"/>
  <c r="K67"/>
  <c r="L67"/>
  <c r="M67"/>
  <c r="N67"/>
  <c r="O67"/>
  <c r="P67"/>
  <c r="Q67"/>
  <c r="R67"/>
  <c r="S67"/>
  <c r="T67"/>
  <c r="U67"/>
  <c r="V67"/>
  <c r="W67"/>
  <c r="X67"/>
  <c r="Y67"/>
  <c r="Z67"/>
  <c r="AA61" l="1"/>
  <c r="J31" i="60" s="1"/>
  <c r="AA60" i="56"/>
  <c r="Z61"/>
  <c r="J30" i="60" s="1"/>
  <c r="Z60" i="56"/>
  <c r="J30" i="55"/>
  <c r="K30"/>
  <c r="H30"/>
  <c r="G30"/>
  <c r="L30"/>
  <c r="E10" i="50"/>
  <c r="E11" s="1"/>
  <c r="E12" s="1"/>
  <c r="E13" s="1"/>
  <c r="E14" s="1"/>
  <c r="E15" s="1"/>
  <c r="E16" s="1"/>
  <c r="E17" s="1"/>
  <c r="E18" s="1"/>
  <c r="E19" s="1"/>
  <c r="E20" s="1"/>
  <c r="E21" s="1"/>
  <c r="E22" s="1"/>
  <c r="E23" s="1"/>
  <c r="E24" s="1"/>
  <c r="E25" s="1"/>
  <c r="E26" s="1"/>
  <c r="E27" s="1"/>
  <c r="E28" s="1"/>
  <c r="E29" s="1"/>
  <c r="E30" s="1"/>
  <c r="E31" s="1"/>
  <c r="C11"/>
  <c r="C10"/>
  <c r="O30" i="55" l="1"/>
  <c r="M30"/>
  <c r="N30"/>
  <c r="G50" i="12"/>
  <c r="G52" i="56" s="1"/>
  <c r="F50" i="12"/>
  <c r="F52" i="56" s="1"/>
  <c r="E50" i="12"/>
  <c r="E52" i="56" s="1"/>
  <c r="I32" l="1"/>
  <c r="H5" i="12"/>
  <c r="I5" s="1"/>
  <c r="J5" s="1"/>
  <c r="K5" s="1"/>
  <c r="L5" s="1"/>
  <c r="M5" s="1"/>
  <c r="N5" s="1"/>
  <c r="O5" s="1"/>
  <c r="P5" s="1"/>
  <c r="Q5" s="1"/>
  <c r="R5" s="1"/>
  <c r="S5" s="1"/>
  <c r="T5" s="1"/>
  <c r="U5" s="1"/>
  <c r="V5" s="1"/>
  <c r="W5" s="1"/>
  <c r="X5" s="1"/>
  <c r="Y5" s="1"/>
  <c r="Z5" s="1"/>
  <c r="AA5" s="1"/>
  <c r="F11" i="55"/>
  <c r="D18" i="12" s="1"/>
  <c r="T26" i="55"/>
  <c r="T27"/>
  <c r="G14"/>
  <c r="G13"/>
  <c r="G12"/>
  <c r="G11"/>
  <c r="G10"/>
  <c r="K10" s="1"/>
  <c r="E17" i="56" s="1"/>
  <c r="G9" i="55"/>
  <c r="K9" s="1"/>
  <c r="E16" i="56" s="1"/>
  <c r="G15" i="55"/>
  <c r="Q64" i="12"/>
  <c r="Q64" i="56" s="1"/>
  <c r="P64" i="12"/>
  <c r="P64" i="56" s="1"/>
  <c r="O64" i="12"/>
  <c r="O64" i="56" s="1"/>
  <c r="N64" i="12"/>
  <c r="N64" i="56" s="1"/>
  <c r="M64" i="12"/>
  <c r="M64" i="56" s="1"/>
  <c r="L64" i="12"/>
  <c r="L64" i="56" s="1"/>
  <c r="K64" i="12"/>
  <c r="K64" i="56" s="1"/>
  <c r="J64" i="12"/>
  <c r="J64" i="56" s="1"/>
  <c r="Y64" i="12"/>
  <c r="Y64" i="56" s="1"/>
  <c r="R64" i="12"/>
  <c r="R64" i="56" s="1"/>
  <c r="S64" i="12"/>
  <c r="S64" i="56" s="1"/>
  <c r="T64" i="12"/>
  <c r="T64" i="56" s="1"/>
  <c r="U64" i="12"/>
  <c r="U64" i="56" s="1"/>
  <c r="V64" i="12"/>
  <c r="V64" i="56" s="1"/>
  <c r="W64" i="12"/>
  <c r="W64" i="56" s="1"/>
  <c r="X64" i="12"/>
  <c r="X64" i="56" s="1"/>
  <c r="Z64" i="12"/>
  <c r="Z64" i="56" s="1"/>
  <c r="AA64" i="12"/>
  <c r="AA64" i="56" s="1"/>
  <c r="I50" i="12"/>
  <c r="C12" i="50"/>
  <c r="B8" i="12"/>
  <c r="B9"/>
  <c r="E9"/>
  <c r="F9" s="1"/>
  <c r="G9" s="1"/>
  <c r="H9" s="1"/>
  <c r="B10"/>
  <c r="D13"/>
  <c r="D14"/>
  <c r="C34"/>
  <c r="I34" s="1"/>
  <c r="C39"/>
  <c r="C40" i="56" s="1"/>
  <c r="B12" i="50"/>
  <c r="B17"/>
  <c r="B22"/>
  <c r="B23"/>
  <c r="C27"/>
  <c r="C28"/>
  <c r="P11" i="55" l="1"/>
  <c r="M11"/>
  <c r="J11"/>
  <c r="F15"/>
  <c r="D22" i="12" s="1"/>
  <c r="O27" i="55"/>
  <c r="O26"/>
  <c r="I41"/>
  <c r="O41" s="1"/>
  <c r="E11" i="12"/>
  <c r="S28" i="55"/>
  <c r="S30"/>
  <c r="I9" i="12"/>
  <c r="J9" s="1"/>
  <c r="K9" s="1"/>
  <c r="L9" s="1"/>
  <c r="M9" s="1"/>
  <c r="N9" s="1"/>
  <c r="O9" s="1"/>
  <c r="P9" s="1"/>
  <c r="Q9" s="1"/>
  <c r="R9" s="1"/>
  <c r="S9" s="1"/>
  <c r="T9" s="1"/>
  <c r="U9" s="1"/>
  <c r="V9" s="1"/>
  <c r="W9" s="1"/>
  <c r="X9" s="1"/>
  <c r="Y9" s="1"/>
  <c r="Z9" s="1"/>
  <c r="AA9" s="1"/>
  <c r="H9" i="56"/>
  <c r="I10"/>
  <c r="J50" i="12"/>
  <c r="I52" i="56"/>
  <c r="H5"/>
  <c r="I5" s="1"/>
  <c r="J5" s="1"/>
  <c r="K5" s="1"/>
  <c r="L5" s="1"/>
  <c r="M5" s="1"/>
  <c r="N5" s="1"/>
  <c r="O5" s="1"/>
  <c r="P5" s="1"/>
  <c r="Q5" s="1"/>
  <c r="R5" s="1"/>
  <c r="S5" s="1"/>
  <c r="T5" s="1"/>
  <c r="U5" s="1"/>
  <c r="V5" s="1"/>
  <c r="W5" s="1"/>
  <c r="X5" s="1"/>
  <c r="Y5" s="1"/>
  <c r="Z5" s="1"/>
  <c r="AA5" s="1"/>
  <c r="I32" i="12"/>
  <c r="H35"/>
  <c r="H13" i="55"/>
  <c r="P30"/>
  <c r="K13"/>
  <c r="N13"/>
  <c r="F20" i="56" s="1"/>
  <c r="Q13" i="55"/>
  <c r="G20" i="56" s="1"/>
  <c r="N9" i="55"/>
  <c r="F16" i="56" s="1"/>
  <c r="H11" i="55"/>
  <c r="T30"/>
  <c r="J32" i="56" l="1"/>
  <c r="I33" i="12"/>
  <c r="I37" s="1"/>
  <c r="I35"/>
  <c r="K11" i="55"/>
  <c r="E18" i="56" s="1"/>
  <c r="E18" i="12"/>
  <c r="N11" i="55"/>
  <c r="F18" i="56" s="1"/>
  <c r="F18" i="12"/>
  <c r="Q11" i="55"/>
  <c r="G18" i="56" s="1"/>
  <c r="G18" i="12"/>
  <c r="L13" i="55"/>
  <c r="E20" i="56"/>
  <c r="F45" i="55"/>
  <c r="D20" i="56"/>
  <c r="F43" i="55"/>
  <c r="D18" i="56"/>
  <c r="P15" i="55"/>
  <c r="G22" i="12" s="1"/>
  <c r="M15" i="55"/>
  <c r="F22" i="12" s="1"/>
  <c r="J15" i="55"/>
  <c r="E22" i="12" s="1"/>
  <c r="H33" i="56"/>
  <c r="H35"/>
  <c r="H36" s="1"/>
  <c r="S41" i="55"/>
  <c r="F11" i="12"/>
  <c r="P26" i="55"/>
  <c r="Q28"/>
  <c r="Q30"/>
  <c r="Y29" i="56"/>
  <c r="W29"/>
  <c r="N29"/>
  <c r="M29"/>
  <c r="T29"/>
  <c r="S29"/>
  <c r="R29"/>
  <c r="P29"/>
  <c r="H29"/>
  <c r="U29"/>
  <c r="K29"/>
  <c r="I13" i="55"/>
  <c r="I29" i="56"/>
  <c r="O29"/>
  <c r="H36" i="12"/>
  <c r="Z29" i="56"/>
  <c r="X29"/>
  <c r="O13" i="55"/>
  <c r="AA29" i="56"/>
  <c r="I9"/>
  <c r="J32" i="12"/>
  <c r="K50"/>
  <c r="J52" i="56"/>
  <c r="R13" i="55"/>
  <c r="J10" i="56"/>
  <c r="I11" i="55"/>
  <c r="J29" i="56"/>
  <c r="L9" i="55"/>
  <c r="Q9"/>
  <c r="R30"/>
  <c r="U30"/>
  <c r="T28"/>
  <c r="H10"/>
  <c r="R28"/>
  <c r="N10"/>
  <c r="F17" i="56" s="1"/>
  <c r="Q27" i="55"/>
  <c r="Q10"/>
  <c r="S26"/>
  <c r="P28"/>
  <c r="J34" i="12"/>
  <c r="I9" i="55"/>
  <c r="K32" i="56" l="1"/>
  <c r="J33" i="12"/>
  <c r="G17" i="56"/>
  <c r="G16"/>
  <c r="O11" i="55"/>
  <c r="L11"/>
  <c r="R11"/>
  <c r="D17" i="56"/>
  <c r="F42" i="55"/>
  <c r="L57" i="56"/>
  <c r="D28"/>
  <c r="L29"/>
  <c r="V29"/>
  <c r="V57"/>
  <c r="V61" s="1"/>
  <c r="J26" i="60" s="1"/>
  <c r="Q57" i="56"/>
  <c r="I33"/>
  <c r="I37" s="1"/>
  <c r="I35"/>
  <c r="I36" s="1"/>
  <c r="J37" i="12"/>
  <c r="G45" i="55"/>
  <c r="M45" s="1"/>
  <c r="I45"/>
  <c r="L45" s="1"/>
  <c r="O45" s="1"/>
  <c r="H45"/>
  <c r="K45" s="1"/>
  <c r="H43"/>
  <c r="K43" s="1"/>
  <c r="N43" s="1"/>
  <c r="G43"/>
  <c r="I43"/>
  <c r="L43" s="1"/>
  <c r="O43" s="1"/>
  <c r="U41"/>
  <c r="V41" s="1"/>
  <c r="R41"/>
  <c r="G11" i="12"/>
  <c r="V30" i="55"/>
  <c r="F60" s="1"/>
  <c r="I60" s="1"/>
  <c r="S27"/>
  <c r="I10"/>
  <c r="R9"/>
  <c r="L50" i="12"/>
  <c r="K52" i="56"/>
  <c r="K10"/>
  <c r="K34" i="12"/>
  <c r="I36"/>
  <c r="R10" i="55"/>
  <c r="K32" i="12"/>
  <c r="J9" i="56"/>
  <c r="J35" i="12"/>
  <c r="Q26" i="55"/>
  <c r="R27"/>
  <c r="V28"/>
  <c r="U28"/>
  <c r="L10"/>
  <c r="R26"/>
  <c r="U26"/>
  <c r="L32" i="56" l="1"/>
  <c r="K33" i="12"/>
  <c r="K37" s="1"/>
  <c r="N45" i="55"/>
  <c r="Q45" s="1"/>
  <c r="S29" i="12"/>
  <c r="O29"/>
  <c r="U29"/>
  <c r="Y29"/>
  <c r="K29"/>
  <c r="W29"/>
  <c r="Z29"/>
  <c r="AA29"/>
  <c r="R29"/>
  <c r="T29"/>
  <c r="N29"/>
  <c r="X29"/>
  <c r="P29"/>
  <c r="M29"/>
  <c r="I29"/>
  <c r="V82"/>
  <c r="F58" i="55"/>
  <c r="G56"/>
  <c r="J35" i="56"/>
  <c r="J36" s="1"/>
  <c r="J33"/>
  <c r="S43" i="55"/>
  <c r="J43"/>
  <c r="M43" s="1"/>
  <c r="Q43"/>
  <c r="T45"/>
  <c r="S45"/>
  <c r="P45"/>
  <c r="G42"/>
  <c r="M42" s="1"/>
  <c r="H42"/>
  <c r="N42" s="1"/>
  <c r="I42"/>
  <c r="O42" s="1"/>
  <c r="H8" i="56"/>
  <c r="H11" i="12"/>
  <c r="H11" i="56" s="1"/>
  <c r="K35" i="12"/>
  <c r="L32"/>
  <c r="L10" i="56"/>
  <c r="K9"/>
  <c r="L34" i="12"/>
  <c r="J36"/>
  <c r="J37" i="56"/>
  <c r="M50" i="12"/>
  <c r="L52" i="56"/>
  <c r="P27" i="55"/>
  <c r="U27"/>
  <c r="V26"/>
  <c r="F56" s="1"/>
  <c r="M32" i="56" l="1"/>
  <c r="L33" i="12"/>
  <c r="L37" s="1"/>
  <c r="Y82"/>
  <c r="U82"/>
  <c r="W82"/>
  <c r="X82"/>
  <c r="Z82"/>
  <c r="T82"/>
  <c r="I58" i="55"/>
  <c r="J58"/>
  <c r="K35" i="56"/>
  <c r="K36" s="1"/>
  <c r="K33"/>
  <c r="M32" i="12"/>
  <c r="T43" i="55"/>
  <c r="P43"/>
  <c r="J48"/>
  <c r="E24" i="56" s="1"/>
  <c r="U45" i="55"/>
  <c r="R45"/>
  <c r="R43"/>
  <c r="S42"/>
  <c r="I11" i="12"/>
  <c r="I11" i="56" s="1"/>
  <c r="I8"/>
  <c r="L35" i="12"/>
  <c r="L36" s="1"/>
  <c r="M34"/>
  <c r="L9" i="56"/>
  <c r="N50" i="12"/>
  <c r="M52" i="56"/>
  <c r="M10"/>
  <c r="K36" i="12"/>
  <c r="K37" i="56"/>
  <c r="V27" i="55"/>
  <c r="F57" s="1"/>
  <c r="I57" s="1"/>
  <c r="N32" i="56" l="1"/>
  <c r="M33" i="12"/>
  <c r="J57" i="55"/>
  <c r="L35" i="56"/>
  <c r="L36" s="1"/>
  <c r="L33"/>
  <c r="Q42" i="55"/>
  <c r="P42"/>
  <c r="U43"/>
  <c r="V45"/>
  <c r="U42"/>
  <c r="R42"/>
  <c r="J11" i="12"/>
  <c r="J11" i="56" s="1"/>
  <c r="J8"/>
  <c r="N34" i="12"/>
  <c r="N10" i="56"/>
  <c r="O50" i="12"/>
  <c r="N52" i="56"/>
  <c r="L37"/>
  <c r="M9"/>
  <c r="G60" i="55" l="1"/>
  <c r="V42"/>
  <c r="V43"/>
  <c r="G58" s="1"/>
  <c r="K8" i="56"/>
  <c r="K11" i="12"/>
  <c r="K11" i="56" s="1"/>
  <c r="O34" i="12"/>
  <c r="P34" s="1"/>
  <c r="P50"/>
  <c r="O52" i="56"/>
  <c r="N9"/>
  <c r="O10"/>
  <c r="L58" i="55" l="1"/>
  <c r="K58"/>
  <c r="G57"/>
  <c r="K57" s="1"/>
  <c r="L60"/>
  <c r="J60"/>
  <c r="K60"/>
  <c r="L8" i="56"/>
  <c r="L11" i="12"/>
  <c r="L11" i="56" s="1"/>
  <c r="P10"/>
  <c r="Q50" i="12"/>
  <c r="P52" i="56"/>
  <c r="O9"/>
  <c r="Q34" i="12"/>
  <c r="L57" i="55" l="1"/>
  <c r="M8" i="56"/>
  <c r="M11" i="12"/>
  <c r="M11" i="56" s="1"/>
  <c r="P9"/>
  <c r="R50" i="12"/>
  <c r="Q52" i="56"/>
  <c r="Q10"/>
  <c r="R34" i="12"/>
  <c r="N8" i="56" l="1"/>
  <c r="N11" i="12"/>
  <c r="N11" i="56" s="1"/>
  <c r="Q9"/>
  <c r="R10"/>
  <c r="S50" i="12"/>
  <c r="R52" i="56"/>
  <c r="S34" i="12"/>
  <c r="O8" i="56" l="1"/>
  <c r="O11" i="12"/>
  <c r="O11" i="56" s="1"/>
  <c r="S10"/>
  <c r="R9"/>
  <c r="T50" i="12"/>
  <c r="S52" i="56"/>
  <c r="T34" i="12"/>
  <c r="P8" i="56" l="1"/>
  <c r="P11" i="12"/>
  <c r="P11" i="56" s="1"/>
  <c r="U50" i="12"/>
  <c r="T52" i="56"/>
  <c r="T10"/>
  <c r="S9"/>
  <c r="U34" i="12"/>
  <c r="Q11" l="1"/>
  <c r="Q11" i="56" s="1"/>
  <c r="Q8"/>
  <c r="T9"/>
  <c r="U10"/>
  <c r="V50" i="12"/>
  <c r="U52" i="56"/>
  <c r="V34" i="12"/>
  <c r="R8" i="56" l="1"/>
  <c r="R11" i="12"/>
  <c r="R11" i="56" s="1"/>
  <c r="W50" i="12"/>
  <c r="V52" i="56"/>
  <c r="V10"/>
  <c r="U9"/>
  <c r="W34" i="12"/>
  <c r="S8" i="56" l="1"/>
  <c r="S11" i="12"/>
  <c r="S11" i="56" s="1"/>
  <c r="V9"/>
  <c r="X50" i="12"/>
  <c r="W52" i="56"/>
  <c r="W10"/>
  <c r="X34" i="12"/>
  <c r="T11" l="1"/>
  <c r="T11" i="56" s="1"/>
  <c r="T8"/>
  <c r="W9"/>
  <c r="X10"/>
  <c r="Y50" i="12"/>
  <c r="X52" i="56"/>
  <c r="Y34" i="12"/>
  <c r="U8" i="56" l="1"/>
  <c r="U11" i="12"/>
  <c r="U11" i="56" s="1"/>
  <c r="Z50" i="12"/>
  <c r="Y52" i="56"/>
  <c r="Y10"/>
  <c r="X9"/>
  <c r="Z34" i="12"/>
  <c r="S82" l="1"/>
  <c r="V8" i="56"/>
  <c r="V11" i="12"/>
  <c r="V11" i="56" s="1"/>
  <c r="Y9"/>
  <c r="AA10"/>
  <c r="Z10"/>
  <c r="AA50" i="12"/>
  <c r="AA52" i="56" s="1"/>
  <c r="Z52"/>
  <c r="AA34" i="12"/>
  <c r="W11" l="1"/>
  <c r="W11" i="56" s="1"/>
  <c r="W8"/>
  <c r="AA9"/>
  <c r="Z9"/>
  <c r="X8" l="1"/>
  <c r="X11" i="12"/>
  <c r="X11" i="56" s="1"/>
  <c r="Y11" i="12" l="1"/>
  <c r="Y11" i="56" s="1"/>
  <c r="Y8"/>
  <c r="Z11" i="12" l="1"/>
  <c r="Z11" i="56" s="1"/>
  <c r="Z8"/>
  <c r="AA11" i="12" l="1"/>
  <c r="AA11" i="56" s="1"/>
  <c r="AA8"/>
  <c r="AA82" i="12" l="1"/>
  <c r="M33" i="56"/>
  <c r="M35"/>
  <c r="M36" s="1"/>
  <c r="N32" i="12"/>
  <c r="M37"/>
  <c r="M37" i="56" s="1"/>
  <c r="M35" i="12"/>
  <c r="M36" s="1"/>
  <c r="O32" i="56" l="1"/>
  <c r="N33" i="12"/>
  <c r="N37" s="1"/>
  <c r="N37" i="56" s="1"/>
  <c r="O32" i="12"/>
  <c r="N35"/>
  <c r="N36" s="1"/>
  <c r="P32" i="56" l="1"/>
  <c r="O33" i="12"/>
  <c r="O37" s="1"/>
  <c r="O37" i="56" s="1"/>
  <c r="O35"/>
  <c r="O36" s="1"/>
  <c r="O33"/>
  <c r="N33"/>
  <c r="N35"/>
  <c r="N36" s="1"/>
  <c r="O35" i="12"/>
  <c r="O36" s="1"/>
  <c r="P32"/>
  <c r="Q32" i="56" l="1"/>
  <c r="P33" i="12"/>
  <c r="P37" s="1"/>
  <c r="P37" i="56" s="1"/>
  <c r="P35"/>
  <c r="P36" s="1"/>
  <c r="P33"/>
  <c r="Q32" i="12"/>
  <c r="P35"/>
  <c r="P36" s="1"/>
  <c r="R32" i="56" l="1"/>
  <c r="Q33" i="12"/>
  <c r="Q37" s="1"/>
  <c r="Q37" i="56" s="1"/>
  <c r="Q35"/>
  <c r="Q36" s="1"/>
  <c r="Q33"/>
  <c r="Q35" i="12"/>
  <c r="Q36" s="1"/>
  <c r="R32"/>
  <c r="S32" i="56" l="1"/>
  <c r="R33" i="12"/>
  <c r="R35" i="56"/>
  <c r="R36" s="1"/>
  <c r="R33"/>
  <c r="R37" i="12"/>
  <c r="R37" i="56" s="1"/>
  <c r="S32" i="12"/>
  <c r="R35"/>
  <c r="R36" s="1"/>
  <c r="T32" i="56" l="1"/>
  <c r="S33" i="12"/>
  <c r="S37" s="1"/>
  <c r="S37" i="56" s="1"/>
  <c r="S35"/>
  <c r="S36" s="1"/>
  <c r="S33"/>
  <c r="T32" i="12"/>
  <c r="S35"/>
  <c r="S36" s="1"/>
  <c r="U32" i="56" l="1"/>
  <c r="T33" i="12"/>
  <c r="T35" i="56"/>
  <c r="T36" s="1"/>
  <c r="T33"/>
  <c r="T37" i="12"/>
  <c r="T37" i="56" s="1"/>
  <c r="T35" i="12"/>
  <c r="T36" s="1"/>
  <c r="U32"/>
  <c r="V32" i="56" l="1"/>
  <c r="U33" i="12"/>
  <c r="U37" s="1"/>
  <c r="U37" i="56" s="1"/>
  <c r="U35"/>
  <c r="U36" s="1"/>
  <c r="U33"/>
  <c r="R68"/>
  <c r="V32" i="12"/>
  <c r="U35"/>
  <c r="U36" s="1"/>
  <c r="W32" i="56" l="1"/>
  <c r="V33" i="12"/>
  <c r="V37" s="1"/>
  <c r="V37" i="56" s="1"/>
  <c r="V35"/>
  <c r="V36" s="1"/>
  <c r="V33"/>
  <c r="S68"/>
  <c r="V35" i="12"/>
  <c r="V36" s="1"/>
  <c r="W32"/>
  <c r="X32" i="56" l="1"/>
  <c r="W33" i="12"/>
  <c r="W37" s="1"/>
  <c r="W37" i="56" s="1"/>
  <c r="W33"/>
  <c r="W35"/>
  <c r="W36" s="1"/>
  <c r="T68"/>
  <c r="W35" i="12"/>
  <c r="W36" s="1"/>
  <c r="X32"/>
  <c r="Y32" i="56" l="1"/>
  <c r="X33" i="12"/>
  <c r="X37" s="1"/>
  <c r="X37" i="56" s="1"/>
  <c r="X33"/>
  <c r="X35"/>
  <c r="X36" s="1"/>
  <c r="U68"/>
  <c r="X35" i="12"/>
  <c r="X36" s="1"/>
  <c r="Y32"/>
  <c r="Z32" i="56" l="1"/>
  <c r="Y33" i="12"/>
  <c r="Y37" s="1"/>
  <c r="Y37" i="56" s="1"/>
  <c r="Y33"/>
  <c r="Y35"/>
  <c r="Y36" s="1"/>
  <c r="V68"/>
  <c r="Z32" i="12"/>
  <c r="Y35"/>
  <c r="Y36" s="1"/>
  <c r="AA32" i="56" l="1"/>
  <c r="Z33" i="12"/>
  <c r="Z37" s="1"/>
  <c r="Z37" i="56" s="1"/>
  <c r="Z33"/>
  <c r="Z35"/>
  <c r="Z36" s="1"/>
  <c r="W68"/>
  <c r="Z35" i="12"/>
  <c r="Z36" s="1"/>
  <c r="AA32"/>
  <c r="AA33" s="1"/>
  <c r="AA33" i="56" l="1"/>
  <c r="AA35"/>
  <c r="AA36" s="1"/>
  <c r="X68"/>
  <c r="AA35" i="12"/>
  <c r="AA36" s="1"/>
  <c r="AA37"/>
  <c r="AA37" i="56" s="1"/>
  <c r="Y68" l="1"/>
  <c r="Z68" l="1"/>
  <c r="AA68"/>
  <c r="H29" i="12" l="1"/>
  <c r="Q54"/>
  <c r="K12" i="55"/>
  <c r="E19" i="56" s="1"/>
  <c r="L29" i="55"/>
  <c r="H12"/>
  <c r="F44" l="1"/>
  <c r="H44" s="1"/>
  <c r="D19" i="56"/>
  <c r="N31" i="55"/>
  <c r="Q31" s="1"/>
  <c r="N12"/>
  <c r="L33"/>
  <c r="G24" i="12" s="1"/>
  <c r="K15" i="55"/>
  <c r="I12"/>
  <c r="O29"/>
  <c r="S29"/>
  <c r="K29"/>
  <c r="K33" s="1"/>
  <c r="F24" i="12" s="1"/>
  <c r="J29" i="55"/>
  <c r="J33" s="1"/>
  <c r="E24" i="12" s="1"/>
  <c r="S31" i="55"/>
  <c r="F33"/>
  <c r="Q12"/>
  <c r="L12"/>
  <c r="D27" i="12"/>
  <c r="Q29"/>
  <c r="I44" i="55" l="1"/>
  <c r="L44" s="1"/>
  <c r="O44" s="1"/>
  <c r="L15"/>
  <c r="E22" i="56"/>
  <c r="R12" i="55"/>
  <c r="G19" i="56"/>
  <c r="O12" i="55"/>
  <c r="F19" i="56"/>
  <c r="G44" i="55"/>
  <c r="M44" s="1"/>
  <c r="D24" i="12"/>
  <c r="O31" i="55"/>
  <c r="R31" s="1"/>
  <c r="M31"/>
  <c r="P31" s="1"/>
  <c r="M29"/>
  <c r="N29"/>
  <c r="G23" i="12"/>
  <c r="P16" i="55"/>
  <c r="D23" i="12"/>
  <c r="E23"/>
  <c r="R29" i="55"/>
  <c r="N14"/>
  <c r="M16"/>
  <c r="Q14"/>
  <c r="G21" i="56" s="1"/>
  <c r="T29" i="55"/>
  <c r="T33" s="1"/>
  <c r="K14"/>
  <c r="N15"/>
  <c r="Q29" i="56"/>
  <c r="Q56"/>
  <c r="D27"/>
  <c r="K44" i="55"/>
  <c r="N44" s="1"/>
  <c r="S32"/>
  <c r="S33" s="1"/>
  <c r="O32"/>
  <c r="H14"/>
  <c r="D21" i="56" s="1"/>
  <c r="F16" i="55"/>
  <c r="H15"/>
  <c r="J16"/>
  <c r="Q15"/>
  <c r="F23" i="12"/>
  <c r="K16" i="55" l="1"/>
  <c r="E21" i="56"/>
  <c r="R14" i="55"/>
  <c r="R15"/>
  <c r="G22" i="56"/>
  <c r="O14" i="55"/>
  <c r="F21" i="56"/>
  <c r="O15" i="55"/>
  <c r="F22" i="56"/>
  <c r="S44" i="55"/>
  <c r="F62"/>
  <c r="D22" i="56"/>
  <c r="F47" i="55"/>
  <c r="F46"/>
  <c r="U31"/>
  <c r="V31"/>
  <c r="F61" s="1"/>
  <c r="I61" s="1"/>
  <c r="N32"/>
  <c r="Q32" s="1"/>
  <c r="M32"/>
  <c r="M33" s="1"/>
  <c r="U29"/>
  <c r="N16"/>
  <c r="Q16"/>
  <c r="I33"/>
  <c r="H16"/>
  <c r="R32"/>
  <c r="H33"/>
  <c r="P29"/>
  <c r="O33"/>
  <c r="P44"/>
  <c r="G33"/>
  <c r="K48"/>
  <c r="F24" i="56" s="1"/>
  <c r="L14" i="55"/>
  <c r="L16" s="1"/>
  <c r="I15"/>
  <c r="L48"/>
  <c r="G24" i="56" s="1"/>
  <c r="T44" i="55"/>
  <c r="I14"/>
  <c r="Q29"/>
  <c r="G25" i="12" l="1"/>
  <c r="G26" s="1"/>
  <c r="G29" s="1"/>
  <c r="E25"/>
  <c r="E26" s="1"/>
  <c r="E53" s="1"/>
  <c r="E63" s="1"/>
  <c r="R16" i="55"/>
  <c r="D24" i="56"/>
  <c r="O16" i="55"/>
  <c r="J61"/>
  <c r="N33"/>
  <c r="U32"/>
  <c r="U33" s="1"/>
  <c r="P32"/>
  <c r="P33" s="1"/>
  <c r="Q33"/>
  <c r="I16"/>
  <c r="R33"/>
  <c r="G47"/>
  <c r="M47" s="1"/>
  <c r="H47"/>
  <c r="I47"/>
  <c r="O47" s="1"/>
  <c r="V29"/>
  <c r="R44"/>
  <c r="U44"/>
  <c r="T48"/>
  <c r="Q44"/>
  <c r="E29" i="12"/>
  <c r="G53" l="1"/>
  <c r="G63" s="1"/>
  <c r="F25"/>
  <c r="F26" s="1"/>
  <c r="O41" s="1"/>
  <c r="V41"/>
  <c r="I43"/>
  <c r="N41"/>
  <c r="Y43"/>
  <c r="G23" i="56"/>
  <c r="G25" s="1"/>
  <c r="F23"/>
  <c r="F25" s="1"/>
  <c r="E23"/>
  <c r="E25" s="1"/>
  <c r="N47" i="55"/>
  <c r="Q47" s="1"/>
  <c r="V32"/>
  <c r="I62" s="1"/>
  <c r="F59"/>
  <c r="R47"/>
  <c r="V44"/>
  <c r="G59" s="1"/>
  <c r="S47"/>
  <c r="P47"/>
  <c r="G46"/>
  <c r="M46" s="1"/>
  <c r="I46"/>
  <c r="O46" s="1"/>
  <c r="H46"/>
  <c r="N46" s="1"/>
  <c r="F48"/>
  <c r="E58" i="12"/>
  <c r="G9" i="50" s="1"/>
  <c r="E59" i="12"/>
  <c r="J9" i="50" s="1"/>
  <c r="E61" i="12"/>
  <c r="E62"/>
  <c r="D23" i="56"/>
  <c r="Z43" i="12" l="1"/>
  <c r="X43"/>
  <c r="AA41"/>
  <c r="Q41"/>
  <c r="F29"/>
  <c r="H39" s="1"/>
  <c r="C23" i="50" s="1"/>
  <c r="V43" i="12"/>
  <c r="Z41"/>
  <c r="K41"/>
  <c r="P41"/>
  <c r="H43"/>
  <c r="C25" i="50" s="1"/>
  <c r="I41" i="12"/>
  <c r="S41"/>
  <c r="U43"/>
  <c r="W41"/>
  <c r="L43"/>
  <c r="Q43"/>
  <c r="T43"/>
  <c r="S43"/>
  <c r="T41"/>
  <c r="J41"/>
  <c r="M43"/>
  <c r="R41"/>
  <c r="M41"/>
  <c r="N43"/>
  <c r="D25"/>
  <c r="D26" s="1"/>
  <c r="D29" s="1"/>
  <c r="R43"/>
  <c r="AA43"/>
  <c r="Y41"/>
  <c r="U41"/>
  <c r="X41"/>
  <c r="L41"/>
  <c r="J43"/>
  <c r="F53"/>
  <c r="F63" s="1"/>
  <c r="O43"/>
  <c r="P43"/>
  <c r="W43"/>
  <c r="K43"/>
  <c r="G61"/>
  <c r="G82"/>
  <c r="G62"/>
  <c r="G59"/>
  <c r="J11" i="50" s="1"/>
  <c r="G58" i="12"/>
  <c r="G11" i="50" s="1"/>
  <c r="E64" i="12"/>
  <c r="E93"/>
  <c r="D25" i="56"/>
  <c r="E92" i="12"/>
  <c r="V33" i="55"/>
  <c r="C13" i="50" s="1"/>
  <c r="C26" s="1"/>
  <c r="I39" i="12"/>
  <c r="J39" s="1"/>
  <c r="K39" s="1"/>
  <c r="H48" i="55"/>
  <c r="K59"/>
  <c r="L59"/>
  <c r="F63"/>
  <c r="J59"/>
  <c r="I59"/>
  <c r="I63" s="1"/>
  <c r="Q66" i="12" s="1"/>
  <c r="E82"/>
  <c r="I48" i="55"/>
  <c r="S46"/>
  <c r="S48" s="1"/>
  <c r="G48"/>
  <c r="U47"/>
  <c r="V47" s="1"/>
  <c r="G62" s="1"/>
  <c r="H41" i="12" l="1"/>
  <c r="C24" i="50" s="1"/>
  <c r="F62" i="12"/>
  <c r="F59"/>
  <c r="J10" i="50" s="1"/>
  <c r="G64" i="12"/>
  <c r="F61"/>
  <c r="H92" s="1"/>
  <c r="F58"/>
  <c r="G10" i="50" s="1"/>
  <c r="K95" i="12"/>
  <c r="K59" i="56" s="1"/>
  <c r="Q95" i="12"/>
  <c r="P95"/>
  <c r="O95"/>
  <c r="N95"/>
  <c r="M95"/>
  <c r="L95"/>
  <c r="F93"/>
  <c r="G93" s="1"/>
  <c r="H93" s="1"/>
  <c r="I93" s="1"/>
  <c r="J93" s="1"/>
  <c r="C30" i="50"/>
  <c r="C16"/>
  <c r="F82" i="12"/>
  <c r="E46" i="56"/>
  <c r="E48" s="1"/>
  <c r="E49" s="1"/>
  <c r="E65" s="1"/>
  <c r="R46" i="55"/>
  <c r="R48" s="1"/>
  <c r="U46"/>
  <c r="O48"/>
  <c r="G26" i="56" s="1"/>
  <c r="H56" i="12"/>
  <c r="H58" i="56"/>
  <c r="E45" i="12"/>
  <c r="E47" s="1"/>
  <c r="K62" i="55"/>
  <c r="J62"/>
  <c r="J63" s="1"/>
  <c r="AA67" i="12" s="1"/>
  <c r="L62" i="55"/>
  <c r="P46"/>
  <c r="P48" s="1"/>
  <c r="M48"/>
  <c r="Q46"/>
  <c r="Q48" s="1"/>
  <c r="N48"/>
  <c r="F26" i="56" s="1"/>
  <c r="Q94" i="12" l="1"/>
  <c r="Q56" s="1"/>
  <c r="F92"/>
  <c r="G92" s="1"/>
  <c r="G45" s="1"/>
  <c r="J94"/>
  <c r="J56" s="1"/>
  <c r="J59" s="1"/>
  <c r="J14" i="50" s="1"/>
  <c r="N94" i="12"/>
  <c r="N56" s="1"/>
  <c r="P94"/>
  <c r="P58" i="56" s="1"/>
  <c r="K94" i="12"/>
  <c r="K56" s="1"/>
  <c r="L94"/>
  <c r="L58" i="56" s="1"/>
  <c r="M94" i="12"/>
  <c r="M58" i="56" s="1"/>
  <c r="O94" i="12"/>
  <c r="O58" i="56" s="1"/>
  <c r="I94" i="12"/>
  <c r="I56" s="1"/>
  <c r="I92" s="1"/>
  <c r="R94"/>
  <c r="R58" i="56" s="1"/>
  <c r="F64" i="12"/>
  <c r="K57"/>
  <c r="M57"/>
  <c r="M59" i="56"/>
  <c r="N57" i="12"/>
  <c r="N59" i="56"/>
  <c r="O57" i="12"/>
  <c r="O59" i="56"/>
  <c r="P57" i="12"/>
  <c r="P59" i="56"/>
  <c r="Q57" i="12"/>
  <c r="Q58" s="1"/>
  <c r="G21" i="50" s="1"/>
  <c r="Q59" i="56"/>
  <c r="L57" i="12"/>
  <c r="L59" i="56"/>
  <c r="F62"/>
  <c r="F63"/>
  <c r="G62"/>
  <c r="G63"/>
  <c r="J58"/>
  <c r="J60" s="1"/>
  <c r="G14" i="60" s="1"/>
  <c r="Q58" i="56"/>
  <c r="G29"/>
  <c r="G55"/>
  <c r="E48" i="12"/>
  <c r="E65" s="1"/>
  <c r="V46" i="55"/>
  <c r="G61" s="1"/>
  <c r="U48"/>
  <c r="V48" s="1"/>
  <c r="C13" i="60" s="1"/>
  <c r="E26" i="56"/>
  <c r="H61"/>
  <c r="H60"/>
  <c r="F29"/>
  <c r="F55"/>
  <c r="H58" i="12"/>
  <c r="G12" i="50" s="1"/>
  <c r="H59" i="12"/>
  <c r="J12" i="50" s="1"/>
  <c r="F46" i="56" l="1"/>
  <c r="F48" s="1"/>
  <c r="F49" s="1"/>
  <c r="G46"/>
  <c r="G48" s="1"/>
  <c r="G49" s="1"/>
  <c r="N58" i="12"/>
  <c r="G18" i="50" s="1"/>
  <c r="F45" i="12"/>
  <c r="F47" s="1"/>
  <c r="F48" s="1"/>
  <c r="F65" s="1"/>
  <c r="F68" s="1"/>
  <c r="F10" i="50" s="1"/>
  <c r="P60" i="56"/>
  <c r="G20" i="60" s="1"/>
  <c r="C26"/>
  <c r="C30"/>
  <c r="N58" i="56"/>
  <c r="N61" s="1"/>
  <c r="J18" i="60" s="1"/>
  <c r="O56" i="12"/>
  <c r="O58" s="1"/>
  <c r="L56"/>
  <c r="L59" s="1"/>
  <c r="J16" i="50" s="1"/>
  <c r="M56" i="12"/>
  <c r="M58" s="1"/>
  <c r="G17" i="50" s="1"/>
  <c r="R56" i="12"/>
  <c r="R58" s="1"/>
  <c r="R82" s="1"/>
  <c r="L61" i="56"/>
  <c r="J16" i="60" s="1"/>
  <c r="K58" i="12"/>
  <c r="K82" s="1"/>
  <c r="I58" i="56"/>
  <c r="I60" s="1"/>
  <c r="G13" i="60" s="1"/>
  <c r="K58" i="56"/>
  <c r="K61" s="1"/>
  <c r="J15" i="60" s="1"/>
  <c r="P56" i="12"/>
  <c r="P59" s="1"/>
  <c r="J20" i="50" s="1"/>
  <c r="M61" i="56"/>
  <c r="J17" i="60" s="1"/>
  <c r="O60" i="56"/>
  <c r="G19" i="60" s="1"/>
  <c r="K93" i="12"/>
  <c r="L93" s="1"/>
  <c r="M93" s="1"/>
  <c r="N93" s="1"/>
  <c r="O93" s="1"/>
  <c r="P93" s="1"/>
  <c r="Q93" s="1"/>
  <c r="K59"/>
  <c r="J15" i="50" s="1"/>
  <c r="O61" i="56"/>
  <c r="J19" i="60" s="1"/>
  <c r="P61" i="56"/>
  <c r="J20" i="60" s="1"/>
  <c r="M60" i="56"/>
  <c r="G17" i="60" s="1"/>
  <c r="L60" i="56"/>
  <c r="G16" i="60" s="1"/>
  <c r="Q60" i="56"/>
  <c r="G21" i="60" s="1"/>
  <c r="R61" i="56"/>
  <c r="J22" i="60" s="1"/>
  <c r="R60" i="56"/>
  <c r="J92" i="12"/>
  <c r="K92" s="1"/>
  <c r="J58"/>
  <c r="G14" i="50" s="1"/>
  <c r="G12" i="60"/>
  <c r="J12"/>
  <c r="C16"/>
  <c r="G64" i="56"/>
  <c r="F64"/>
  <c r="N59" i="12"/>
  <c r="J18" i="50" s="1"/>
  <c r="E62" i="56"/>
  <c r="E63"/>
  <c r="I58" i="12"/>
  <c r="G13" i="50" s="1"/>
  <c r="J61" i="56"/>
  <c r="J14" i="60" s="1"/>
  <c r="Q59" i="12"/>
  <c r="J21" i="50" s="1"/>
  <c r="I59" i="12"/>
  <c r="J13" i="50" s="1"/>
  <c r="Q61" i="56"/>
  <c r="J21" i="60" s="1"/>
  <c r="W44" i="56"/>
  <c r="O44"/>
  <c r="AA42"/>
  <c r="S42"/>
  <c r="K42"/>
  <c r="X44"/>
  <c r="T42"/>
  <c r="V44"/>
  <c r="N44"/>
  <c r="Z42"/>
  <c r="R42"/>
  <c r="J42"/>
  <c r="V42"/>
  <c r="Y44"/>
  <c r="M42"/>
  <c r="P44"/>
  <c r="H40"/>
  <c r="U44"/>
  <c r="M44"/>
  <c r="Y42"/>
  <c r="Q42"/>
  <c r="I42"/>
  <c r="R44"/>
  <c r="N42"/>
  <c r="I44"/>
  <c r="H44"/>
  <c r="C25" i="60" s="1"/>
  <c r="T44" i="56"/>
  <c r="L44"/>
  <c r="X42"/>
  <c r="P42"/>
  <c r="H42"/>
  <c r="C24" i="60" s="1"/>
  <c r="AA44" i="56"/>
  <c r="S44"/>
  <c r="K44"/>
  <c r="W42"/>
  <c r="O42"/>
  <c r="Z44"/>
  <c r="J44"/>
  <c r="Q44"/>
  <c r="U42"/>
  <c r="L42"/>
  <c r="L39" i="12"/>
  <c r="E68"/>
  <c r="F9" i="50" s="1"/>
  <c r="E69" i="12"/>
  <c r="I9" i="50" s="1"/>
  <c r="G60" i="56"/>
  <c r="G11" i="60" s="1"/>
  <c r="G61" i="56"/>
  <c r="J11" i="60" s="1"/>
  <c r="H80" i="56"/>
  <c r="E29"/>
  <c r="E55"/>
  <c r="N82" i="12"/>
  <c r="J80" i="56"/>
  <c r="H82" i="12"/>
  <c r="D26" i="56"/>
  <c r="D29" s="1"/>
  <c r="K61" i="55"/>
  <c r="K63" s="1"/>
  <c r="L61"/>
  <c r="L63" s="1"/>
  <c r="G63"/>
  <c r="F60" i="56"/>
  <c r="G10" i="60" s="1"/>
  <c r="F61" i="56"/>
  <c r="J10" i="60" s="1"/>
  <c r="G47" i="12"/>
  <c r="Q82"/>
  <c r="P80" i="56" l="1"/>
  <c r="N60"/>
  <c r="G18" i="60" s="1"/>
  <c r="L58" i="12"/>
  <c r="G16" i="50" s="1"/>
  <c r="M59" i="12"/>
  <c r="J17" i="50" s="1"/>
  <c r="O59" i="12"/>
  <c r="J19" i="50" s="1"/>
  <c r="R59" i="12"/>
  <c r="J22" i="50" s="1"/>
  <c r="L92" i="12"/>
  <c r="M92" s="1"/>
  <c r="N92" s="1"/>
  <c r="O92" s="1"/>
  <c r="P92" s="1"/>
  <c r="Q92" s="1"/>
  <c r="P58"/>
  <c r="G20" i="50" s="1"/>
  <c r="G15"/>
  <c r="I61" i="56"/>
  <c r="J13" i="60" s="1"/>
  <c r="K60" i="56"/>
  <c r="G15" i="60" s="1"/>
  <c r="I80" i="56"/>
  <c r="O80"/>
  <c r="M80"/>
  <c r="L80"/>
  <c r="Q80"/>
  <c r="J82" i="12"/>
  <c r="I40" i="56"/>
  <c r="J40" s="1"/>
  <c r="K40" s="1"/>
  <c r="L40" s="1"/>
  <c r="M40" s="1"/>
  <c r="N40" s="1"/>
  <c r="O40" s="1"/>
  <c r="P40" s="1"/>
  <c r="Q40" s="1"/>
  <c r="Q48" s="1"/>
  <c r="Q49" s="1"/>
  <c r="Q65" s="1"/>
  <c r="Q69" s="1"/>
  <c r="I21" i="60" s="1"/>
  <c r="K21" s="1"/>
  <c r="C23"/>
  <c r="O82" i="12"/>
  <c r="G19" i="50"/>
  <c r="E64" i="56"/>
  <c r="E68" s="1"/>
  <c r="F9" i="60" s="1"/>
  <c r="I82" i="12"/>
  <c r="R45"/>
  <c r="M82"/>
  <c r="AA67" i="56"/>
  <c r="Q66"/>
  <c r="H46"/>
  <c r="H48" s="1"/>
  <c r="H49" s="1"/>
  <c r="H45" i="12"/>
  <c r="M39"/>
  <c r="F65" i="56"/>
  <c r="F69" i="12"/>
  <c r="I10" i="50" s="1"/>
  <c r="K10" s="1"/>
  <c r="F80" i="56"/>
  <c r="G80"/>
  <c r="E71" i="12"/>
  <c r="S59"/>
  <c r="J23" i="50" s="1"/>
  <c r="G48" i="12"/>
  <c r="G65" s="1"/>
  <c r="E70"/>
  <c r="E61" i="56"/>
  <c r="E60"/>
  <c r="G9" i="60" s="1"/>
  <c r="L82" i="12" l="1"/>
  <c r="N80" i="56"/>
  <c r="J32" i="50"/>
  <c r="P82" i="12"/>
  <c r="G32" i="50"/>
  <c r="K80" i="56"/>
  <c r="R40"/>
  <c r="R48" s="1"/>
  <c r="R41" s="1"/>
  <c r="H9" i="60"/>
  <c r="G32"/>
  <c r="J9"/>
  <c r="J32" s="1"/>
  <c r="E69" i="56"/>
  <c r="I9" i="60" s="1"/>
  <c r="S45" i="12"/>
  <c r="Q41" i="56"/>
  <c r="Q43"/>
  <c r="Q45"/>
  <c r="Q68"/>
  <c r="F21" i="60" s="1"/>
  <c r="H21" s="1"/>
  <c r="Q71" i="56"/>
  <c r="Q84" s="1"/>
  <c r="H47" i="12"/>
  <c r="I46" i="56"/>
  <c r="I48" s="1"/>
  <c r="I49" s="1"/>
  <c r="I45" i="12"/>
  <c r="I47" s="1"/>
  <c r="N39"/>
  <c r="E83"/>
  <c r="E84" s="1"/>
  <c r="E85" s="1"/>
  <c r="G69"/>
  <c r="I11" i="50" s="1"/>
  <c r="K11" s="1"/>
  <c r="G65" i="56"/>
  <c r="G68" i="12"/>
  <c r="F11" i="50" s="1"/>
  <c r="H9"/>
  <c r="E80" i="56"/>
  <c r="E70"/>
  <c r="K9" i="50"/>
  <c r="E86" i="12"/>
  <c r="E87" s="1"/>
  <c r="E88" s="1"/>
  <c r="H10" i="50"/>
  <c r="F70" i="12"/>
  <c r="F83" s="1"/>
  <c r="F71"/>
  <c r="F86" s="1"/>
  <c r="F68" i="56"/>
  <c r="F10" i="60" s="1"/>
  <c r="H10" s="1"/>
  <c r="F69" i="56"/>
  <c r="I10" i="60" s="1"/>
  <c r="K10" s="1"/>
  <c r="K9" l="1"/>
  <c r="S40" i="56"/>
  <c r="T40" s="1"/>
  <c r="R43"/>
  <c r="R45"/>
  <c r="R49"/>
  <c r="R65" s="1"/>
  <c r="R69" s="1"/>
  <c r="I22" i="60" s="1"/>
  <c r="K22" s="1"/>
  <c r="E71" i="56"/>
  <c r="T45" i="12"/>
  <c r="Q70" i="56"/>
  <c r="Q81" s="1"/>
  <c r="H48" i="12"/>
  <c r="H65" s="1"/>
  <c r="H44"/>
  <c r="H46"/>
  <c r="J46" i="56"/>
  <c r="J48" s="1"/>
  <c r="J49" s="1"/>
  <c r="J45" i="12"/>
  <c r="J47" s="1"/>
  <c r="O39"/>
  <c r="F84"/>
  <c r="F85" s="1"/>
  <c r="E81" i="56"/>
  <c r="F71"/>
  <c r="F84" s="1"/>
  <c r="H11" i="50"/>
  <c r="G70" i="12"/>
  <c r="G83" s="1"/>
  <c r="G69" i="56"/>
  <c r="I11" i="60" s="1"/>
  <c r="K11" s="1"/>
  <c r="G68" i="56"/>
  <c r="F11" i="60" s="1"/>
  <c r="H11" s="1"/>
  <c r="F70" i="56"/>
  <c r="F81" s="1"/>
  <c r="F87" i="12"/>
  <c r="F88" s="1"/>
  <c r="H41" i="56"/>
  <c r="H65"/>
  <c r="H43"/>
  <c r="H45"/>
  <c r="G71" i="12"/>
  <c r="H47" i="56"/>
  <c r="I46" i="12"/>
  <c r="H40"/>
  <c r="H42"/>
  <c r="E84" i="56" l="1"/>
  <c r="E85" s="1"/>
  <c r="E86" s="1"/>
  <c r="E82"/>
  <c r="E83" s="1"/>
  <c r="S48"/>
  <c r="S45" s="1"/>
  <c r="R71"/>
  <c r="R84" s="1"/>
  <c r="U45" i="12"/>
  <c r="U40" i="56"/>
  <c r="T48"/>
  <c r="T41" s="1"/>
  <c r="K46"/>
  <c r="K48" s="1"/>
  <c r="K49" s="1"/>
  <c r="K45" i="12"/>
  <c r="K47" s="1"/>
  <c r="G84"/>
  <c r="G85" s="1"/>
  <c r="P39"/>
  <c r="G70" i="56"/>
  <c r="J47"/>
  <c r="G71"/>
  <c r="H68" i="12"/>
  <c r="F12" i="50" s="1"/>
  <c r="H69" i="12"/>
  <c r="I12" i="50" s="1"/>
  <c r="K12" s="1"/>
  <c r="I40" i="12"/>
  <c r="I48"/>
  <c r="I65" s="1"/>
  <c r="I44"/>
  <c r="I42"/>
  <c r="G86"/>
  <c r="G87" s="1"/>
  <c r="G88" s="1"/>
  <c r="H69" i="56"/>
  <c r="I12" i="60" s="1"/>
  <c r="K12" s="1"/>
  <c r="H68" i="56"/>
  <c r="F12" i="60" s="1"/>
  <c r="H12" s="1"/>
  <c r="I41" i="56"/>
  <c r="I65"/>
  <c r="I43"/>
  <c r="I45"/>
  <c r="I47"/>
  <c r="F85" l="1"/>
  <c r="F86" s="1"/>
  <c r="F82"/>
  <c r="F83" s="1"/>
  <c r="S49"/>
  <c r="S65" s="1"/>
  <c r="S69" s="1"/>
  <c r="I23" i="60" s="1"/>
  <c r="K23" s="1"/>
  <c r="S43" i="56"/>
  <c r="S41"/>
  <c r="V45" i="12"/>
  <c r="V40" i="56"/>
  <c r="U48"/>
  <c r="T49"/>
  <c r="T65" s="1"/>
  <c r="T69" s="1"/>
  <c r="I24" i="60" s="1"/>
  <c r="K24" s="1"/>
  <c r="T43" i="56"/>
  <c r="T45"/>
  <c r="L46"/>
  <c r="L48" s="1"/>
  <c r="L49" s="1"/>
  <c r="L45" i="12"/>
  <c r="L47" s="1"/>
  <c r="Q39"/>
  <c r="H71"/>
  <c r="G84" i="56"/>
  <c r="I69"/>
  <c r="I13" i="60" s="1"/>
  <c r="K13" s="1"/>
  <c r="I68" i="56"/>
  <c r="F13" i="60" s="1"/>
  <c r="H13" s="1"/>
  <c r="H70" i="12"/>
  <c r="J40"/>
  <c r="J48"/>
  <c r="J65" s="1"/>
  <c r="J44"/>
  <c r="J42"/>
  <c r="I69"/>
  <c r="I13" i="50" s="1"/>
  <c r="K13" s="1"/>
  <c r="I68" i="12"/>
  <c r="F13" i="50" s="1"/>
  <c r="J41" i="56"/>
  <c r="J65"/>
  <c r="J45"/>
  <c r="J43"/>
  <c r="G81"/>
  <c r="J46" i="12"/>
  <c r="H70" i="56"/>
  <c r="H71"/>
  <c r="G85" l="1"/>
  <c r="G86" s="1"/>
  <c r="G82"/>
  <c r="G83" s="1"/>
  <c r="S71"/>
  <c r="S84" s="1"/>
  <c r="W45" i="12"/>
  <c r="T71" i="56"/>
  <c r="T84" s="1"/>
  <c r="U49"/>
  <c r="U65" s="1"/>
  <c r="U69" s="1"/>
  <c r="I25" i="60" s="1"/>
  <c r="K25" s="1"/>
  <c r="U45" i="56"/>
  <c r="U43"/>
  <c r="U41"/>
  <c r="W40"/>
  <c r="V48"/>
  <c r="V41" s="1"/>
  <c r="M46"/>
  <c r="M48" s="1"/>
  <c r="M49" s="1"/>
  <c r="M45" i="12"/>
  <c r="M47" s="1"/>
  <c r="H84" i="56"/>
  <c r="H81"/>
  <c r="R39" i="12"/>
  <c r="R47" s="1"/>
  <c r="J68"/>
  <c r="F14" i="50" s="1"/>
  <c r="J69" i="12"/>
  <c r="I14" i="50" s="1"/>
  <c r="K14" s="1"/>
  <c r="I70" i="56"/>
  <c r="I81" s="1"/>
  <c r="I71"/>
  <c r="K40" i="12"/>
  <c r="K48"/>
  <c r="K65" s="1"/>
  <c r="K44"/>
  <c r="K42"/>
  <c r="J68" i="56"/>
  <c r="F14" i="60" s="1"/>
  <c r="H14" s="1"/>
  <c r="J69" i="56"/>
  <c r="I14" i="60" s="1"/>
  <c r="K14" s="1"/>
  <c r="K41" i="56"/>
  <c r="K65"/>
  <c r="K43"/>
  <c r="K45"/>
  <c r="K47"/>
  <c r="K46" i="12"/>
  <c r="H13" i="50"/>
  <c r="I70" i="12"/>
  <c r="I83" s="1"/>
  <c r="H83"/>
  <c r="H84" s="1"/>
  <c r="H85" s="1"/>
  <c r="H86"/>
  <c r="H87" s="1"/>
  <c r="H88" s="1"/>
  <c r="L47" i="56"/>
  <c r="I71" i="12"/>
  <c r="I86" s="1"/>
  <c r="H12" i="50"/>
  <c r="H85" i="56" l="1"/>
  <c r="H86" s="1"/>
  <c r="H82"/>
  <c r="H83" s="1"/>
  <c r="X45" i="12"/>
  <c r="U71" i="56"/>
  <c r="U84" s="1"/>
  <c r="X40"/>
  <c r="W48"/>
  <c r="V43"/>
  <c r="V49"/>
  <c r="V65" s="1"/>
  <c r="V69" s="1"/>
  <c r="I26" i="60" s="1"/>
  <c r="K26" s="1"/>
  <c r="V45" i="56"/>
  <c r="N46"/>
  <c r="N48" s="1"/>
  <c r="N49" s="1"/>
  <c r="N45" i="12"/>
  <c r="N47" s="1"/>
  <c r="S39"/>
  <c r="S47" s="1"/>
  <c r="J71" i="56"/>
  <c r="J70" i="12"/>
  <c r="J83" s="1"/>
  <c r="I84"/>
  <c r="I85" s="1"/>
  <c r="K68"/>
  <c r="K69"/>
  <c r="J71"/>
  <c r="J86" s="1"/>
  <c r="M47" i="56"/>
  <c r="L40" i="12"/>
  <c r="L48"/>
  <c r="L65" s="1"/>
  <c r="L44"/>
  <c r="L42"/>
  <c r="J70" i="56"/>
  <c r="L46" i="12"/>
  <c r="I84" i="56"/>
  <c r="L41"/>
  <c r="L65"/>
  <c r="L43"/>
  <c r="L45"/>
  <c r="I87" i="12"/>
  <c r="I88" s="1"/>
  <c r="K68" i="56"/>
  <c r="K69"/>
  <c r="I15" i="60" s="1"/>
  <c r="I85" i="56" l="1"/>
  <c r="I86" s="1"/>
  <c r="I82"/>
  <c r="I83" s="1"/>
  <c r="K15" i="60"/>
  <c r="F15" i="50"/>
  <c r="F15" i="60"/>
  <c r="I15" i="50"/>
  <c r="Y45" i="12"/>
  <c r="W49" i="56"/>
  <c r="W65" s="1"/>
  <c r="W69" s="1"/>
  <c r="I27" i="60" s="1"/>
  <c r="K27" s="1"/>
  <c r="W45" i="56"/>
  <c r="W43"/>
  <c r="W41"/>
  <c r="Y40"/>
  <c r="X48"/>
  <c r="V71"/>
  <c r="V84" s="1"/>
  <c r="O46"/>
  <c r="O48" s="1"/>
  <c r="O49" s="1"/>
  <c r="O45" i="12"/>
  <c r="O47" s="1"/>
  <c r="J81" i="56"/>
  <c r="J84"/>
  <c r="J85" s="1"/>
  <c r="J86" s="1"/>
  <c r="T39" i="12"/>
  <c r="T47" s="1"/>
  <c r="S40"/>
  <c r="R42"/>
  <c r="R46"/>
  <c r="R48"/>
  <c r="R65" s="1"/>
  <c r="R69" s="1"/>
  <c r="I22" i="50" s="1"/>
  <c r="K22" s="1"/>
  <c r="R44" i="12"/>
  <c r="R40"/>
  <c r="J87"/>
  <c r="J88" s="1"/>
  <c r="M40"/>
  <c r="M48"/>
  <c r="M65" s="1"/>
  <c r="M44"/>
  <c r="M42"/>
  <c r="J84"/>
  <c r="J85" s="1"/>
  <c r="L68" i="56"/>
  <c r="F16" i="60" s="1"/>
  <c r="H16" s="1"/>
  <c r="L69" i="56"/>
  <c r="I16" i="60" s="1"/>
  <c r="K16" s="1"/>
  <c r="M46" i="12"/>
  <c r="L68"/>
  <c r="F16" i="50" s="1"/>
  <c r="L69" i="12"/>
  <c r="I16" i="50" s="1"/>
  <c r="K16" s="1"/>
  <c r="K71" i="56"/>
  <c r="K71" i="12"/>
  <c r="K70" i="56"/>
  <c r="M41"/>
  <c r="M65"/>
  <c r="M43"/>
  <c r="M45"/>
  <c r="H14" i="50"/>
  <c r="K70" i="12"/>
  <c r="J82" i="56" l="1"/>
  <c r="J83" s="1"/>
  <c r="K15" i="50"/>
  <c r="K83" i="12"/>
  <c r="K84" s="1"/>
  <c r="K85" s="1"/>
  <c r="H15" i="60"/>
  <c r="K86" i="12"/>
  <c r="K87" s="1"/>
  <c r="K88" s="1"/>
  <c r="K81" i="56"/>
  <c r="AA45" i="12"/>
  <c r="Z45"/>
  <c r="Z40" i="56"/>
  <c r="Y48"/>
  <c r="X43"/>
  <c r="X49"/>
  <c r="X65" s="1"/>
  <c r="X69" s="1"/>
  <c r="I28" i="60" s="1"/>
  <c r="K28" s="1"/>
  <c r="X45" i="56"/>
  <c r="X41"/>
  <c r="W71"/>
  <c r="W84" s="1"/>
  <c r="P46"/>
  <c r="P48" s="1"/>
  <c r="P49" s="1"/>
  <c r="P45" i="12"/>
  <c r="S48"/>
  <c r="S65" s="1"/>
  <c r="S69" s="1"/>
  <c r="I23" i="50" s="1"/>
  <c r="K23" s="1"/>
  <c r="S44" i="12"/>
  <c r="S42"/>
  <c r="S46"/>
  <c r="U39"/>
  <c r="U47" s="1"/>
  <c r="T40"/>
  <c r="R71"/>
  <c r="R86" s="1"/>
  <c r="M68" i="56"/>
  <c r="M69"/>
  <c r="I17" i="60" s="1"/>
  <c r="K17" s="1"/>
  <c r="M68" i="12"/>
  <c r="M69"/>
  <c r="L71" i="56"/>
  <c r="L70"/>
  <c r="H15" i="50"/>
  <c r="L70" i="12"/>
  <c r="L83" s="1"/>
  <c r="N40"/>
  <c r="N48"/>
  <c r="N65" s="1"/>
  <c r="N44"/>
  <c r="N42"/>
  <c r="N46"/>
  <c r="K84" i="56"/>
  <c r="K85" s="1"/>
  <c r="N41"/>
  <c r="N65"/>
  <c r="N69" s="1"/>
  <c r="N43"/>
  <c r="N45"/>
  <c r="N47"/>
  <c r="L71" i="12"/>
  <c r="L86" s="1"/>
  <c r="K82" i="56" l="1"/>
  <c r="K83" s="1"/>
  <c r="K86"/>
  <c r="Q45" i="12"/>
  <c r="F17" i="60"/>
  <c r="I17" i="50"/>
  <c r="F17"/>
  <c r="X71" i="56"/>
  <c r="X84" s="1"/>
  <c r="Y45"/>
  <c r="Y49"/>
  <c r="Y65" s="1"/>
  <c r="Y69" s="1"/>
  <c r="I29" i="60" s="1"/>
  <c r="K29" s="1"/>
  <c r="Y43" i="56"/>
  <c r="Y41"/>
  <c r="AA40"/>
  <c r="Z48"/>
  <c r="Z41" s="1"/>
  <c r="P47" i="12"/>
  <c r="L81" i="56"/>
  <c r="L84"/>
  <c r="L85" s="1"/>
  <c r="L86" s="1"/>
  <c r="L87" i="12"/>
  <c r="L88" s="1"/>
  <c r="V39"/>
  <c r="V47" s="1"/>
  <c r="U40"/>
  <c r="S71"/>
  <c r="S86" s="1"/>
  <c r="T46"/>
  <c r="T48"/>
  <c r="T65" s="1"/>
  <c r="T69" s="1"/>
  <c r="I24" i="50" s="1"/>
  <c r="K24" s="1"/>
  <c r="T44" i="12"/>
  <c r="T42"/>
  <c r="L84"/>
  <c r="L85" s="1"/>
  <c r="M71"/>
  <c r="M86" s="1"/>
  <c r="M70" i="56"/>
  <c r="H16" i="50"/>
  <c r="M70" i="12"/>
  <c r="M71" i="56"/>
  <c r="N68"/>
  <c r="F18" i="60" s="1"/>
  <c r="H18" s="1"/>
  <c r="I18"/>
  <c r="K18" s="1"/>
  <c r="O41" i="56"/>
  <c r="O65"/>
  <c r="O43"/>
  <c r="O45"/>
  <c r="O40" i="12"/>
  <c r="O48"/>
  <c r="O65" s="1"/>
  <c r="O44"/>
  <c r="O42"/>
  <c r="N69"/>
  <c r="I18" i="50" s="1"/>
  <c r="K18" s="1"/>
  <c r="N68" i="12"/>
  <c r="F18" i="50" s="1"/>
  <c r="O46" i="12"/>
  <c r="O47" i="56"/>
  <c r="L82" l="1"/>
  <c r="L83" s="1"/>
  <c r="Q47" i="12"/>
  <c r="Q46" s="1"/>
  <c r="K17" i="50"/>
  <c r="M83" i="12"/>
  <c r="M84" s="1"/>
  <c r="M85" s="1"/>
  <c r="M81" i="56"/>
  <c r="M82" s="1"/>
  <c r="M83" s="1"/>
  <c r="H17" i="60"/>
  <c r="AA48" i="56"/>
  <c r="Y71"/>
  <c r="Y84" s="1"/>
  <c r="Z49"/>
  <c r="Z65" s="1"/>
  <c r="Z69" s="1"/>
  <c r="I30" i="60" s="1"/>
  <c r="K30" s="1"/>
  <c r="Z45" i="56"/>
  <c r="Z43"/>
  <c r="P46" i="12"/>
  <c r="M87"/>
  <c r="M88" s="1"/>
  <c r="W39"/>
  <c r="W47" s="1"/>
  <c r="V40"/>
  <c r="U48"/>
  <c r="U65" s="1"/>
  <c r="U69" s="1"/>
  <c r="I25" i="50" s="1"/>
  <c r="K25" s="1"/>
  <c r="U42" i="12"/>
  <c r="U46"/>
  <c r="U44"/>
  <c r="T71"/>
  <c r="T86" s="1"/>
  <c r="P40"/>
  <c r="P48"/>
  <c r="P65" s="1"/>
  <c r="P44"/>
  <c r="P42"/>
  <c r="O68"/>
  <c r="F19" i="50" s="1"/>
  <c r="O69" i="12"/>
  <c r="O69" i="56"/>
  <c r="I19" i="60" s="1"/>
  <c r="O68" i="56"/>
  <c r="F19" i="60" s="1"/>
  <c r="H19" s="1"/>
  <c r="P41" i="56"/>
  <c r="P65"/>
  <c r="P45"/>
  <c r="P43"/>
  <c r="P47"/>
  <c r="N71"/>
  <c r="N84" s="1"/>
  <c r="N71" i="12"/>
  <c r="N86" s="1"/>
  <c r="N70" i="56"/>
  <c r="N81" s="1"/>
  <c r="M84"/>
  <c r="M85" s="1"/>
  <c r="N70" i="12"/>
  <c r="N83" s="1"/>
  <c r="H17" i="50"/>
  <c r="M86" i="56" l="1"/>
  <c r="Q42" i="12"/>
  <c r="Q48"/>
  <c r="Q65" s="1"/>
  <c r="Q68" s="1"/>
  <c r="F21" i="50" s="1"/>
  <c r="H21" s="1"/>
  <c r="Q40" i="12"/>
  <c r="Q44"/>
  <c r="K19" i="60"/>
  <c r="I19" i="50"/>
  <c r="Z71" i="56"/>
  <c r="Z84" s="1"/>
  <c r="AA49"/>
  <c r="AA65" s="1"/>
  <c r="AA69" s="1"/>
  <c r="I31" i="60" s="1"/>
  <c r="K31" s="1"/>
  <c r="AA43" i="56"/>
  <c r="AA45"/>
  <c r="AA41"/>
  <c r="N84" i="12"/>
  <c r="N85" s="1"/>
  <c r="N87"/>
  <c r="N88" s="1"/>
  <c r="N82" i="56"/>
  <c r="N83" s="1"/>
  <c r="X39" i="12"/>
  <c r="X47" s="1"/>
  <c r="U71"/>
  <c r="U86" s="1"/>
  <c r="V42"/>
  <c r="V46"/>
  <c r="V48"/>
  <c r="V65" s="1"/>
  <c r="V69" s="1"/>
  <c r="I26" i="50" s="1"/>
  <c r="K26" s="1"/>
  <c r="V44" i="12"/>
  <c r="P68" i="56"/>
  <c r="P69"/>
  <c r="I20" i="60" s="1"/>
  <c r="K20" s="1"/>
  <c r="H18" i="50"/>
  <c r="O70" i="12"/>
  <c r="O83" s="1"/>
  <c r="P69"/>
  <c r="I20" i="50" s="1"/>
  <c r="K20" s="1"/>
  <c r="P68" i="12"/>
  <c r="F20" i="50" s="1"/>
  <c r="O70" i="56"/>
  <c r="O81" s="1"/>
  <c r="N85"/>
  <c r="N86" s="1"/>
  <c r="O71"/>
  <c r="O84" s="1"/>
  <c r="O71" i="12"/>
  <c r="O86" s="1"/>
  <c r="C43" i="60" l="1"/>
  <c r="Q69" i="12"/>
  <c r="I21" i="50" s="1"/>
  <c r="K21" s="1"/>
  <c r="K32" i="60"/>
  <c r="K19" i="50"/>
  <c r="I32" i="60"/>
  <c r="F20"/>
  <c r="F32" i="50"/>
  <c r="AA71" i="56"/>
  <c r="H20" i="50"/>
  <c r="Q70" i="12"/>
  <c r="O84"/>
  <c r="O85" s="1"/>
  <c r="O87"/>
  <c r="O88" s="1"/>
  <c r="O82" i="56"/>
  <c r="O83" s="1"/>
  <c r="W42" i="12"/>
  <c r="W44"/>
  <c r="W46"/>
  <c r="W48"/>
  <c r="W65" s="1"/>
  <c r="W69" s="1"/>
  <c r="I27" i="50" s="1"/>
  <c r="K27" s="1"/>
  <c r="W40" i="12"/>
  <c r="V71"/>
  <c r="V86" s="1"/>
  <c r="Y39"/>
  <c r="Y47" s="1"/>
  <c r="X40"/>
  <c r="P71"/>
  <c r="P70"/>
  <c r="O85" i="56"/>
  <c r="O86" s="1"/>
  <c r="P71"/>
  <c r="P70"/>
  <c r="D72" s="1"/>
  <c r="AA84" l="1"/>
  <c r="D73"/>
  <c r="C44" i="60" s="1"/>
  <c r="D72" i="12"/>
  <c r="C40" i="50" s="1"/>
  <c r="E48" s="1"/>
  <c r="Q71" i="12"/>
  <c r="Q86" s="1"/>
  <c r="H20" i="60"/>
  <c r="C39" s="1"/>
  <c r="F32"/>
  <c r="C40"/>
  <c r="E48" s="1"/>
  <c r="Q83" i="12"/>
  <c r="X46"/>
  <c r="X42"/>
  <c r="X44"/>
  <c r="X48"/>
  <c r="X65" s="1"/>
  <c r="X69" s="1"/>
  <c r="I28" i="50" s="1"/>
  <c r="K28" s="1"/>
  <c r="Z39" i="12"/>
  <c r="Z47" s="1"/>
  <c r="W71"/>
  <c r="W86" s="1"/>
  <c r="P83"/>
  <c r="P84" s="1"/>
  <c r="P85" s="1"/>
  <c r="P81" i="56"/>
  <c r="P84"/>
  <c r="P85" s="1"/>
  <c r="P86" s="1"/>
  <c r="H19" i="50"/>
  <c r="C39" s="1"/>
  <c r="P86" i="12"/>
  <c r="P87" s="1"/>
  <c r="P88" s="1"/>
  <c r="P82" i="56" l="1"/>
  <c r="P83" s="1"/>
  <c r="H32" i="50"/>
  <c r="H32" i="60"/>
  <c r="AA39" i="12"/>
  <c r="Z40"/>
  <c r="X71"/>
  <c r="Y42"/>
  <c r="Y46"/>
  <c r="Y48"/>
  <c r="Y65" s="1"/>
  <c r="Y69" s="1"/>
  <c r="I29" i="50" s="1"/>
  <c r="K29" s="1"/>
  <c r="Y44" i="12"/>
  <c r="Y40"/>
  <c r="Q84"/>
  <c r="Q85" s="1"/>
  <c r="Q85" i="56"/>
  <c r="Q86" s="1"/>
  <c r="Q87" i="12"/>
  <c r="Q88" s="1"/>
  <c r="C41" i="50"/>
  <c r="Q82" i="56" l="1"/>
  <c r="Q83" s="1"/>
  <c r="AA47" i="12"/>
  <c r="Y71"/>
  <c r="Y86" s="1"/>
  <c r="Z42"/>
  <c r="Z44"/>
  <c r="Z46"/>
  <c r="Z48"/>
  <c r="Z65" s="1"/>
  <c r="Z69" s="1"/>
  <c r="I30" i="50" s="1"/>
  <c r="K30" s="1"/>
  <c r="X86" i="12"/>
  <c r="R87"/>
  <c r="R88" s="1"/>
  <c r="R85" i="56"/>
  <c r="R86" s="1"/>
  <c r="C41" i="60"/>
  <c r="AA48" i="12" l="1"/>
  <c r="AA65" s="1"/>
  <c r="AA46"/>
  <c r="AA44"/>
  <c r="AA42"/>
  <c r="AA40"/>
  <c r="Z71"/>
  <c r="S85" i="56"/>
  <c r="S86" s="1"/>
  <c r="S87" i="12"/>
  <c r="S88" s="1"/>
  <c r="AA69" l="1"/>
  <c r="AA71" s="1"/>
  <c r="D73" s="1"/>
  <c r="Z86"/>
  <c r="T87"/>
  <c r="T88" s="1"/>
  <c r="T85" i="56"/>
  <c r="T86" s="1"/>
  <c r="G19" i="59" l="1"/>
  <c r="G9"/>
  <c r="AA86" i="12"/>
  <c r="I31" i="50"/>
  <c r="C44"/>
  <c r="U87" i="12"/>
  <c r="U88" s="1"/>
  <c r="U85" i="56"/>
  <c r="U86" s="1"/>
  <c r="J14" i="59" l="1"/>
  <c r="J9"/>
  <c r="J17"/>
  <c r="J13"/>
  <c r="J11"/>
  <c r="J16"/>
  <c r="J15"/>
  <c r="J10"/>
  <c r="J19"/>
  <c r="K31" i="50"/>
  <c r="C43" s="1"/>
  <c r="I32"/>
  <c r="V85" i="56"/>
  <c r="V86" s="1"/>
  <c r="V87" i="12"/>
  <c r="V88" s="1"/>
  <c r="K32" i="50" l="1"/>
  <c r="W87" i="12"/>
  <c r="W88" s="1"/>
  <c r="W85" i="56"/>
  <c r="W86" s="1"/>
  <c r="X85" l="1"/>
  <c r="X86" s="1"/>
  <c r="X87" i="12"/>
  <c r="X88" s="1"/>
  <c r="Y87" l="1"/>
  <c r="Y88" s="1"/>
  <c r="Y85" i="56"/>
  <c r="Y86" s="1"/>
  <c r="Z87" i="12" l="1"/>
  <c r="Z88" s="1"/>
  <c r="Z85" i="56"/>
  <c r="Z86" s="1"/>
  <c r="AA85" l="1"/>
  <c r="AA87" i="12"/>
  <c r="AA88" s="1"/>
  <c r="C45" i="50"/>
  <c r="AA86" i="56" l="1"/>
  <c r="C45" i="60"/>
</calcChain>
</file>

<file path=xl/sharedStrings.xml><?xml version="1.0" encoding="utf-8"?>
<sst xmlns="http://schemas.openxmlformats.org/spreadsheetml/2006/main" count="725" uniqueCount="524">
  <si>
    <t>مجموع اعباء الاعوان المكلفين بالمشروع</t>
  </si>
  <si>
    <t>تكاليف الصيانة والتعهد  ( نسبة مئوية من حجم الاستثمارات )</t>
  </si>
  <si>
    <t>اعباء الاستغلال الاخرى ( نسبة مئوية من حجم الاستثمارات)</t>
  </si>
  <si>
    <t xml:space="preserve">نسبة الفائدة </t>
  </si>
  <si>
    <t xml:space="preserve">مدة سداد القرض </t>
  </si>
  <si>
    <t xml:space="preserve">النسبة السنوية لتطور اعباء الاعوان المكلفين بالمشروع </t>
  </si>
  <si>
    <t>Année  de réalisation</t>
  </si>
  <si>
    <t xml:space="preserve">Loyer mensuel </t>
  </si>
  <si>
    <t>Taux d'interet</t>
  </si>
  <si>
    <t>المعلومات</t>
  </si>
  <si>
    <t>Création de l'emploi supplémentaire par an</t>
  </si>
  <si>
    <t>Revenues locales</t>
  </si>
  <si>
    <t>Total frais du personnel/ans</t>
  </si>
  <si>
    <t>Utiliser les données de l'INS pour ces valeurs</t>
  </si>
  <si>
    <t>سنة انطلاق المشروع</t>
  </si>
  <si>
    <t>اسم البلدية  الاولى</t>
  </si>
  <si>
    <t>اسم االبلدية الثانية</t>
  </si>
  <si>
    <t>اسم البلدية الثالثة</t>
  </si>
  <si>
    <t>المجموع</t>
  </si>
  <si>
    <t>عدد السكان المتواجدين بالبلديات المعنية بالمشروع</t>
  </si>
  <si>
    <t>التطور الاقتصادي الناتج عن انجاز المشروع</t>
  </si>
  <si>
    <t>المداخيل العمومية المحلية</t>
  </si>
  <si>
    <t xml:space="preserve">مبلغ الكراء الشهري لكل محل  </t>
  </si>
  <si>
    <t>Taux d'augmentation annuelle des frais de personnel</t>
  </si>
  <si>
    <t>تكاليف الادارة</t>
  </si>
  <si>
    <t>Autres charges d'exploitation (% annuelle des investissements)</t>
  </si>
  <si>
    <t>Maximum des commerçants / locatairs payants</t>
  </si>
  <si>
    <t>Nombre des commerçants / locataires</t>
  </si>
  <si>
    <t>Entretien/an  en % des investissements</t>
  </si>
  <si>
    <r>
      <t>Superficie nécessaire pour le projet en m</t>
    </r>
    <r>
      <rPr>
        <vertAlign val="superscript"/>
        <sz val="11"/>
        <rFont val="Calibri"/>
        <family val="2"/>
      </rPr>
      <t>2</t>
    </r>
  </si>
  <si>
    <r>
      <t>Estimation des coûts par m</t>
    </r>
    <r>
      <rPr>
        <vertAlign val="superscript"/>
        <sz val="11"/>
        <rFont val="Calibri"/>
        <family val="2"/>
      </rPr>
      <t>2</t>
    </r>
  </si>
  <si>
    <t xml:space="preserve">Insérer le taux de croissance par an, le nombre d'habitants </t>
    <phoneticPr fontId="3" type="noConversion"/>
  </si>
  <si>
    <r>
      <t>Insérer le prix de m</t>
    </r>
    <r>
      <rPr>
        <vertAlign val="superscript"/>
        <sz val="11"/>
        <color indexed="12"/>
        <rFont val="Calibri"/>
        <family val="2"/>
      </rPr>
      <t>2</t>
    </r>
    <r>
      <rPr>
        <sz val="11"/>
        <color indexed="12"/>
        <rFont val="Calibri"/>
        <family val="2"/>
      </rPr>
      <t xml:space="preserve"> du terrain en question</t>
    </r>
    <phoneticPr fontId="3" type="noConversion"/>
  </si>
  <si>
    <t>Donnés de base du projet</t>
    <phoneticPr fontId="3" type="noConversion"/>
  </si>
  <si>
    <t>Estimation des coûts de développement du terrain (10%)</t>
    <phoneticPr fontId="3" type="noConversion"/>
  </si>
  <si>
    <t>Croissance par an</t>
    <phoneticPr fontId="3" type="noConversion"/>
  </si>
  <si>
    <t>Nature des données</t>
  </si>
  <si>
    <t>Descriptif des Donnés clés</t>
  </si>
  <si>
    <t>Valeurs</t>
  </si>
  <si>
    <t>Commune impliquée</t>
  </si>
  <si>
    <t>PARAMETRES DU PROJET</t>
  </si>
  <si>
    <t>Insérer la superficie du terrain requis</t>
  </si>
  <si>
    <t>Estimation du prix du terrain</t>
    <phoneticPr fontId="3" type="noConversion"/>
  </si>
  <si>
    <t>Installations techniques spécialisées</t>
  </si>
  <si>
    <t>Meubles et autres équipement</t>
  </si>
  <si>
    <t>Estimation du prix de construction du marché en DT</t>
    <phoneticPr fontId="3" type="noConversion"/>
  </si>
  <si>
    <t>Année de démarrage de réalisation du projet</t>
  </si>
  <si>
    <t>Durée (Ans)</t>
  </si>
  <si>
    <t>...</t>
  </si>
  <si>
    <t>Superficie (m2)</t>
  </si>
  <si>
    <t>Explications:</t>
  </si>
  <si>
    <t>Nom de la Commune 1</t>
  </si>
  <si>
    <t>Nom de la Commune 2</t>
  </si>
  <si>
    <t>Nom de la Commune ...</t>
  </si>
  <si>
    <t>Année</t>
  </si>
  <si>
    <t>Nombre de postes de travail</t>
  </si>
  <si>
    <t>Insérer l'année de démarrage de la réalisation du projet</t>
  </si>
  <si>
    <t xml:space="preserve">NB: Merci de remplir uniquement les champs en vert </t>
  </si>
  <si>
    <t>Donnés de base du projet</t>
  </si>
  <si>
    <t>Développement économique du projet</t>
  </si>
  <si>
    <r>
      <t xml:space="preserve">Superficie </t>
    </r>
    <r>
      <rPr>
        <sz val="11"/>
        <rFont val="Calibri"/>
        <family val="2"/>
      </rPr>
      <t xml:space="preserve">nécessaire pour le projet </t>
    </r>
    <r>
      <rPr>
        <sz val="11"/>
        <rFont val="Calibri"/>
        <family val="2"/>
      </rPr>
      <t xml:space="preserve">nouveau ou l'aménagement </t>
    </r>
    <r>
      <rPr>
        <sz val="11"/>
        <rFont val="Calibri"/>
        <family val="2"/>
      </rPr>
      <t>en m</t>
    </r>
    <r>
      <rPr>
        <vertAlign val="superscript"/>
        <sz val="11"/>
        <rFont val="Calibri"/>
        <family val="2"/>
      </rPr>
      <t>2</t>
    </r>
  </si>
  <si>
    <t>TRI 10 ans</t>
  </si>
  <si>
    <t>TRI 20 ans</t>
  </si>
  <si>
    <t>Aménagement du terrain</t>
  </si>
  <si>
    <t>Année mise en service</t>
  </si>
  <si>
    <t>Annèes</t>
  </si>
  <si>
    <t>Aquisition fonciére</t>
  </si>
  <si>
    <t>Taux TVA</t>
  </si>
  <si>
    <t xml:space="preserve">Cout de base </t>
  </si>
  <si>
    <t>Cout de base</t>
  </si>
  <si>
    <t xml:space="preserve">Bureau de contrôle et pilotage </t>
  </si>
  <si>
    <t>Imprévus physiques</t>
  </si>
  <si>
    <t>Montant TVA</t>
  </si>
  <si>
    <t>Etudes techniques, économiques et prestations Topo et géothecniques</t>
  </si>
  <si>
    <t xml:space="preserve">Contrôle et Pilotage </t>
  </si>
  <si>
    <t xml:space="preserve"> *  Pour les travaux de construction</t>
  </si>
  <si>
    <t xml:space="preserve"> * Pour les installations techniques</t>
  </si>
  <si>
    <t>Les taux de la TVA appliqués sont les suivants:</t>
  </si>
  <si>
    <r>
      <t xml:space="preserve">Estimation des coûts de terrain nouveau par m2
</t>
    </r>
    <r>
      <rPr>
        <sz val="11"/>
        <rFont val="Calibri"/>
        <family val="2"/>
      </rPr>
      <t/>
    </r>
  </si>
  <si>
    <t>Investissements de base  pour le projet</t>
  </si>
  <si>
    <t>Répartition annuelle des investissements</t>
  </si>
  <si>
    <t xml:space="preserve">                        *Année 1</t>
  </si>
  <si>
    <t xml:space="preserve">                        *Année 2</t>
  </si>
  <si>
    <t xml:space="preserve">                        *Année 3</t>
  </si>
  <si>
    <r>
      <t xml:space="preserve"> </t>
    </r>
    <r>
      <rPr>
        <sz val="11"/>
        <rFont val="Calibri"/>
        <family val="2"/>
      </rPr>
      <t xml:space="preserve">   *  Acquisition fonciére et travaux d'aménagement y afférents             ,</t>
    </r>
  </si>
  <si>
    <r>
      <t xml:space="preserve"> </t>
    </r>
    <r>
      <rPr>
        <sz val="11"/>
        <rFont val="Calibri"/>
        <family val="2"/>
      </rPr>
      <t xml:space="preserve"> * Travaux de construction,                                                      </t>
    </r>
  </si>
  <si>
    <t xml:space="preserve">   * Etudes techniques et économiques et campagnes  Topo et Géotechniques:  </t>
  </si>
  <si>
    <t xml:space="preserve"> </t>
  </si>
  <si>
    <r>
      <t xml:space="preserve">     * </t>
    </r>
    <r>
      <rPr>
        <sz val="11"/>
        <rFont val="Calibri"/>
        <family val="2"/>
      </rPr>
      <t>Contrôle et pilotage</t>
    </r>
  </si>
  <si>
    <t>Imprévus pour hausse des prix</t>
  </si>
  <si>
    <t>Charges financiéres</t>
  </si>
  <si>
    <t>Emprunt CPSCL</t>
  </si>
  <si>
    <t>Remboursement  prêt CPSCL</t>
  </si>
  <si>
    <t>Charges financières du prêt CPSCL</t>
  </si>
  <si>
    <t xml:space="preserve"> Année de base 2019 </t>
  </si>
  <si>
    <t>Désignations</t>
  </si>
  <si>
    <t xml:space="preserve">  Cout de base</t>
  </si>
  <si>
    <r>
      <t>Loyer  mensuel en DT :</t>
    </r>
    <r>
      <rPr>
        <sz val="11"/>
        <color indexed="10"/>
        <rFont val="Calibri"/>
        <family val="2"/>
      </rPr>
      <t xml:space="preserve"> </t>
    </r>
  </si>
  <si>
    <t>Loyer mensuel ou cumul des droits de places par mois</t>
  </si>
  <si>
    <t>Augmentation annuel du loyer ou du cumul des droits de place par mois</t>
  </si>
  <si>
    <t xml:space="preserve">Autres Emprunt </t>
  </si>
  <si>
    <t>Montant du crédit pris par la Commune auprés d'une autre institution bancaire</t>
  </si>
  <si>
    <t>Année de grace (ans)</t>
  </si>
  <si>
    <t>Emplois</t>
  </si>
  <si>
    <t>Ressources</t>
  </si>
  <si>
    <t>Capacité d'autofinancement</t>
  </si>
  <si>
    <t xml:space="preserve">Provision  hausse des prix </t>
  </si>
  <si>
    <t>Acquisition et aménagement du site du pojet, études techniques et économiques et campagnes topographiques et géotechniques</t>
  </si>
  <si>
    <t>Procédures d'appels d'offres, attribution du marché et démarrage des travaux</t>
  </si>
  <si>
    <t xml:space="preserve">Achévement des travaux, reception </t>
  </si>
  <si>
    <t>Année de mise en service</t>
  </si>
  <si>
    <t xml:space="preserve">Total des charges d'exploitation avec charges financières </t>
  </si>
  <si>
    <t>S/Total des financements</t>
  </si>
  <si>
    <t>Remboursement du principal prêt CPSCL</t>
  </si>
  <si>
    <t xml:space="preserve">Remboursement du principal des  autres prêts  </t>
  </si>
  <si>
    <t>Tableau Emplois- Ressources</t>
  </si>
  <si>
    <t>Charges financières des  autres  prêts</t>
  </si>
  <si>
    <t>2020-2022</t>
  </si>
  <si>
    <t>Echéancier  de réalisation</t>
  </si>
  <si>
    <t>Taux d'intérêt</t>
  </si>
  <si>
    <t>Valeur résiduelle après une période d'explotation de 10 ans</t>
  </si>
  <si>
    <t>Valeur résiduelle après une période d'explotation de 20 ans</t>
  </si>
  <si>
    <t>Durée d'exploitation de 10 ans</t>
  </si>
  <si>
    <t>Durée d'exploitation de 20 ans</t>
  </si>
  <si>
    <t>Flux nets de trésoreries( Somme des Ressources  - Somme des Emplois) 10 ans d'exploitation</t>
  </si>
  <si>
    <t>Flux nets de trésoreries( Somme des Ressources  - Somme des Emplois) 20 ans d'exploitation</t>
  </si>
  <si>
    <t>Montant avec TVA</t>
  </si>
  <si>
    <t>Population</t>
  </si>
  <si>
    <t xml:space="preserve">Croissance % p.a. </t>
  </si>
  <si>
    <t>Revenues locales provenant du Projet</t>
  </si>
  <si>
    <t>Augmentation/an</t>
  </si>
  <si>
    <t>Frais d'administration ( Charges du personnels en charge du projet)</t>
  </si>
  <si>
    <t xml:space="preserve">La part des frais d'administration  par rapport aux charges totales </t>
  </si>
  <si>
    <t>Frais annuels d'entretien (  3% des investissements)</t>
  </si>
  <si>
    <t xml:space="preserve">La part des frais d'entrtien  par rapport aux charges totales </t>
  </si>
  <si>
    <t>Autres charges d'exploitationen ( 3% des investissements)</t>
  </si>
  <si>
    <t xml:space="preserve">La part des autres charges   par rapport aux charges totales </t>
  </si>
  <si>
    <t xml:space="preserve">La part de charges financières    par rapport aux charges totales </t>
  </si>
  <si>
    <t>Flux net actualisé annuel (10 ans d'explotation)</t>
  </si>
  <si>
    <t>Flux net actualisé cumulé (10 ans d'explotation)</t>
  </si>
  <si>
    <t>Flux net actualisé annuel (20 ans d'explotation)</t>
  </si>
  <si>
    <t>Flux net actualisé cumulé (20 ans d'explotation)</t>
  </si>
  <si>
    <t>Données de base du Projet</t>
  </si>
  <si>
    <t>Superficie nécessaire pour le projet en m2</t>
  </si>
  <si>
    <t>Ratios</t>
  </si>
  <si>
    <t>Tablesu Emplois-Ressources</t>
  </si>
  <si>
    <t>Poulation des communes du Projet</t>
  </si>
  <si>
    <t>Nom de la commune 1</t>
  </si>
  <si>
    <t>Nom de la commune 2</t>
  </si>
  <si>
    <t>Nom de la commune 3</t>
  </si>
  <si>
    <t>Population totale</t>
  </si>
  <si>
    <t>Loyers mensuels  en DT</t>
  </si>
  <si>
    <t>Remboursement des autres  emprunts</t>
  </si>
  <si>
    <t xml:space="preserve">Autres Emprunts </t>
  </si>
  <si>
    <t>Population des Communes du Projet</t>
  </si>
  <si>
    <t xml:space="preserve">Le DRCI correspond à la  première  période durant laquelle le cumul des flux nets de trésoreries devient positif </t>
  </si>
  <si>
    <t xml:space="preserve">Le DRCI correspond à la première période  durant laquelle le cumul des flux nets de trésoreries devient positif </t>
  </si>
  <si>
    <t>Cout du Projet sans TVA ( y compris imprévus physiques et provisions pour hausse des prix)</t>
  </si>
  <si>
    <t>Cout de base en hors  TVA</t>
  </si>
  <si>
    <t>Cout de base avec TVA</t>
  </si>
  <si>
    <t>Provisions pour  hausse des prix</t>
  </si>
  <si>
    <t xml:space="preserve">Provisions pour hausse des prix </t>
  </si>
  <si>
    <t>Provisions pour hausse des prix</t>
  </si>
  <si>
    <t>Cout total en hors TVA</t>
  </si>
  <si>
    <t xml:space="preserve">Cout du Projet total  en hors TVA  y compris   imprévus physiques et provisions pour hausse des prix </t>
  </si>
  <si>
    <t>Cout total du Projet  avec TVA y compris les  imprévus physiques et provisions pour hausse des prix</t>
  </si>
  <si>
    <t xml:space="preserve">Cout de base du Projet </t>
  </si>
  <si>
    <t>Cout de base total du Projet avec et sans TVA</t>
  </si>
  <si>
    <t xml:space="preserve">Cout de base  du Projet annualisé    avec et sans TVA </t>
  </si>
  <si>
    <t>Amortissement (durée en nombre d'années)</t>
  </si>
  <si>
    <t>Amortissement actifs / Structures et installations fixes (annèes)</t>
  </si>
  <si>
    <t>Amortissements installations techniques spécialisées (années)</t>
  </si>
  <si>
    <t>Amortissements meubles et équipements (années)</t>
  </si>
  <si>
    <t>Cout total du Projet avec TVA ( y compris imprévus physiques et provisions pour hausse des prix)</t>
  </si>
  <si>
    <t xml:space="preserve">Cout de base total  et annualisé  du Projet   avec et sans TVA </t>
  </si>
  <si>
    <t>Cout total avec TVA</t>
  </si>
  <si>
    <t xml:space="preserve">Délai d'amortissement </t>
  </si>
  <si>
    <t>Non amortissable</t>
  </si>
  <si>
    <t>Amortissement des études ,pilotage et autres prestations</t>
  </si>
  <si>
    <t>Valeur résiduelle  du Projet après 10 et 20 ans d'exploitation</t>
  </si>
  <si>
    <t xml:space="preserve"> * Pour les frais du personnels et les charges financières </t>
  </si>
  <si>
    <t xml:space="preserve">Couts de base annuel  du Projet avec TVA </t>
  </si>
  <si>
    <t xml:space="preserve">Cout de base annuel du Projet en hors TVA  </t>
  </si>
  <si>
    <t xml:space="preserve">Cout du projet annualisé avec TVA y compris imprévus physiques et provisions pour hausse des prix </t>
  </si>
  <si>
    <t xml:space="preserve"> Cout du Projet annualisé sans TVA y compris  imprévus physiques et provisions pour hausse des prix </t>
  </si>
  <si>
    <t>* Pour les frais d'entretien et autres charges</t>
  </si>
  <si>
    <t>Les services de la dette</t>
  </si>
  <si>
    <t>Remboursement autres emprunts</t>
  </si>
  <si>
    <t>Augmentation %/an</t>
  </si>
  <si>
    <t>Total</t>
  </si>
  <si>
    <r>
      <t xml:space="preserve">   * </t>
    </r>
    <r>
      <rPr>
        <sz val="11"/>
        <rFont val="Calibri"/>
        <family val="2"/>
      </rPr>
      <t xml:space="preserve"> Installations  complémentaires particulières</t>
    </r>
  </si>
  <si>
    <t xml:space="preserve"> * Pour les travaux de construction, les installations techniques, les équipements d'entretien et de maintenances ainsi que pour les travaux d'aménagement de l'emprise du Projet et les travaux de terrassements et de revètements </t>
  </si>
  <si>
    <t>Estimation du prix de construction du Projet en DT</t>
  </si>
  <si>
    <t xml:space="preserve">Installations complémentaires particulières </t>
  </si>
  <si>
    <r>
      <rPr>
        <b/>
        <sz val="14"/>
        <color rgb="FFFF0000"/>
        <rFont val="Calibri"/>
        <family val="2"/>
      </rPr>
      <t>Délais de Récupération du Capital Investit ( DRCI)</t>
    </r>
    <r>
      <rPr>
        <b/>
        <sz val="11"/>
        <rFont val="Calibri"/>
        <family val="2"/>
      </rPr>
      <t xml:space="preserve"> , c'est  l'indicateur qui permet  de déterminer  la période durant laquelle   la somme actualisée des Flux Nets de Trésoreries prévisionnels permet la récupération du montant du capital investit.</t>
    </r>
  </si>
  <si>
    <t>Frais d'administration ( Charges du personnels impliqués dans la gestion techniques et administratives du projet)</t>
  </si>
  <si>
    <t>Frais annuels d'entretien (  % des investissements)</t>
  </si>
  <si>
    <t>Autres charges d'exploitationen ( % des investissements)</t>
  </si>
  <si>
    <t>Le DRCI correspond à la première période  durant laquelle le cumul des flux nets de trésoreries devient positif (10 ans d'explotation)</t>
  </si>
  <si>
    <t>Le DRCI correspond à la  première  période durant laquelle le cumul des flux nets de trésoreries devient positif (20 ans d'explotation)</t>
  </si>
  <si>
    <t>Encaissement</t>
  </si>
  <si>
    <t>Décaissement</t>
  </si>
  <si>
    <t xml:space="preserve">Flux nets de trésorerie </t>
  </si>
  <si>
    <t>Total des ressources (période d'exploitation 10 ans)</t>
  </si>
  <si>
    <t>Total des ressources (période d'exploitation 20 ans)</t>
  </si>
  <si>
    <t>Total des ressources ( période d'exploitation 10 ans)</t>
  </si>
  <si>
    <t>Total des ressources ( période d'exploitation 20 ans)</t>
  </si>
  <si>
    <t>Total des emplois (période d'exploitation 10 ans)</t>
  </si>
  <si>
    <t>Total des emplois (période d'exploitation 20 ans)</t>
  </si>
  <si>
    <t>Equipements et meubles, y compris matériels d'entretien et de la maintenance.</t>
  </si>
  <si>
    <t>Total des investissementents initiaux  en DT y compris les imprévus physiques et les  provisions pour la hausse des prix.</t>
  </si>
  <si>
    <t>Total des investissements initiaux et de remplacements  avec imprévus physiques et provisions pour hausse des prix</t>
  </si>
  <si>
    <t>Investisssement de remplacement des installations complémentaires particuliéres  (tous les 10 ans)avec imprévus physiques et provisions pour hausse des prix</t>
  </si>
  <si>
    <t xml:space="preserve">Investisssement de remplacement des équipements et meubles (tous les 5 ans) y compris le matériels d'entretiens avec imprévus physiques et provisions pour hausse des prix </t>
  </si>
  <si>
    <t>Investissements  initiaux de base pour le projet</t>
  </si>
  <si>
    <t>Total des investissements  initiaux de base     en DT</t>
  </si>
  <si>
    <t xml:space="preserve">Total des investissementen initiaux en DT y compris les imprévus physiques et provision pour la hausse des prix  </t>
  </si>
  <si>
    <t>Imprévus physiques des investissements de base</t>
  </si>
  <si>
    <t>Imprévus pour hausse des prix des investissements de base</t>
  </si>
  <si>
    <t xml:space="preserve"> loyers annuels en DT</t>
  </si>
  <si>
    <t>Le niveau des loyers</t>
  </si>
  <si>
    <t>les charges d'exploitation:</t>
  </si>
  <si>
    <t>Croissance des Frais du personnel</t>
  </si>
  <si>
    <t>Niveau des  frais d'entretiens (% des investissements)</t>
  </si>
  <si>
    <t>Autres charges d'exploitation/an en % des investissements</t>
  </si>
  <si>
    <t>Le taux de croissance du loyer</t>
  </si>
  <si>
    <t>Le  taux de croissance du niveau de la demande</t>
  </si>
  <si>
    <r>
      <t>Loyer  mensuel en DT par local :</t>
    </r>
    <r>
      <rPr>
        <sz val="11"/>
        <color indexed="10"/>
        <rFont val="Calibri"/>
        <family val="2"/>
      </rPr>
      <t xml:space="preserve"> </t>
    </r>
  </si>
  <si>
    <t>Loyers mensuels totaux en DT</t>
  </si>
  <si>
    <t>Créationd'emplois supplémentaire par an</t>
  </si>
  <si>
    <t>Investissements initiaux  de base du projet en Hors TVA</t>
  </si>
  <si>
    <t>Cout de base du Projet</t>
  </si>
  <si>
    <r>
      <rPr>
        <b/>
        <sz val="11"/>
        <rFont val="Calibri"/>
        <family val="2"/>
      </rPr>
      <t>Provisions pour  hausse des prix</t>
    </r>
    <r>
      <rPr>
        <sz val="11"/>
        <rFont val="Calibri"/>
        <family val="2"/>
      </rPr>
      <t xml:space="preserve"> calculées sur la base des taux  d'inflation .      Pour 2019 , le taux réel est de                                                                                                          </t>
    </r>
  </si>
  <si>
    <t xml:space="preserve">Pour 2020,2021 et 2022 le taux prévisionnel de l'Institut des statitiques est : </t>
  </si>
  <si>
    <t>Taux d'intérêt de l'emprunt</t>
  </si>
  <si>
    <t>Durée de remboursement de l'emprunt (ans)</t>
  </si>
  <si>
    <t>Minimum</t>
  </si>
  <si>
    <t>Maximum</t>
  </si>
  <si>
    <t>Attention</t>
  </si>
  <si>
    <t xml:space="preserve">NB: Merci de  :  </t>
  </si>
  <si>
    <t>1- Remplir uniquement les champs en vert</t>
  </si>
  <si>
    <t>Durée de remboursement (ans) du crédit CPSCL</t>
  </si>
  <si>
    <t>Délai de grace du crédit</t>
  </si>
  <si>
    <t>minimum</t>
  </si>
  <si>
    <t>maximum</t>
  </si>
  <si>
    <t>TOTAL</t>
  </si>
  <si>
    <t xml:space="preserve">Monant du crédit contracté auprés d'une autre institution </t>
  </si>
  <si>
    <t>Crédit de la CPSCL (si applicable)</t>
  </si>
  <si>
    <t>Durée de remboursement (ans) du crédit</t>
  </si>
  <si>
    <t>Délais de grace du crédit CPSCL</t>
  </si>
  <si>
    <r>
      <rPr>
        <b/>
        <sz val="11"/>
        <rFont val="Calibri"/>
        <family val="2"/>
      </rPr>
      <t>Estimation du  montant des toutes autres équipements et meubles</t>
    </r>
    <r>
      <rPr>
        <sz val="11"/>
        <rFont val="Calibri"/>
        <family val="2"/>
      </rPr>
      <t>, y compirs matériel d'entretien et de la maintenance.(% du montant des travaux de construction)</t>
    </r>
  </si>
  <si>
    <t xml:space="preserve"> * Pour les équipements et meubles ainsi que le materiels d'entretiens et de maintenances</t>
  </si>
  <si>
    <t>Inserer l'échéancier de réalisation du Prijet</t>
  </si>
  <si>
    <t>Insérer le % d'augmentation des locataires</t>
  </si>
  <si>
    <t>Insérer le nombre de locataires  minimum au démarrage du Projet</t>
  </si>
  <si>
    <t xml:space="preserve">Insére le nombre maximal de locataires   </t>
  </si>
  <si>
    <t>Insérer le nombre de postes d'emplois créés   par locataire</t>
  </si>
  <si>
    <t>Insérer le montant du loyer  mensuel/ le cumul mensuel des droits de places</t>
  </si>
  <si>
    <t>Frais d'administration/Frais du personnels du personnels chargés de la gestion techniques, administratives et financières du Projet :</t>
  </si>
  <si>
    <t>Le % d'augmentation annuel du loyer mensuel/droits de place est fixé</t>
  </si>
  <si>
    <t>Le % des investissements qui revient à l'ingénieur/controleur est fixé</t>
  </si>
  <si>
    <t>Le % des investissements qui revient au secrétaire/comptable est fixé</t>
  </si>
  <si>
    <t xml:space="preserve">Le  % du montant des investissements qui revient aux frais d'entretien est fixé </t>
  </si>
  <si>
    <t xml:space="preserve">Le  % du montant des investissements qui revient aux autres charges est fixé </t>
  </si>
  <si>
    <t>Le taux d'intérêt   de l'emprunt  contracté  auprès de  la CPSCL est reglementé</t>
  </si>
  <si>
    <t xml:space="preserve">La durée du remboirsement de l'emprunt de la CPSCL est reglementé </t>
  </si>
  <si>
    <t xml:space="preserve">La durée de grace  de l'emprunt de la CPSCL est reglementé </t>
  </si>
  <si>
    <t>Inserer le taux d'interet de l'emprunt à contracter   auprès d'autres banques</t>
  </si>
  <si>
    <t>Inserer la durée de remboursement  de l'emprunt à contracter   auprès d'autres banques</t>
  </si>
  <si>
    <t>Inserer la durée de grace   de l'emprunt à contracter   auprès d'autres banques</t>
  </si>
  <si>
    <t>Ia durée d'amortissement des équipements  et meubles ainsi que le matèriels  d'entretien et d'explotation  est reglementé</t>
  </si>
  <si>
    <t xml:space="preserve">La durée d'amortissement des études  techniques et financières ainsi que les camapgnes topographiques et géotechniques  et les prestations de contrôle et de pilotage  est reglementée  </t>
  </si>
  <si>
    <t xml:space="preserve">La durée d'amortissement du génie civil des batiments est reglementée </t>
  </si>
  <si>
    <t>Ia durée d'amortissement des installations techniques est reglementée</t>
  </si>
  <si>
    <t>Insérer  le montant estimé pour la contsruction du projet (1)</t>
  </si>
  <si>
    <t>Le % du montant des travaux de construction qui revient aux  installations complémentaires particulières  (2) est recommandé</t>
  </si>
  <si>
    <t>* Pour les travaux de construcion : 9 % du montant de ces travaux</t>
  </si>
  <si>
    <t xml:space="preserve"> * Pour les autres équipements et meubles ainsi que le matériels d'entretiens et de maintenances : 5% du montant de ces équipements.</t>
  </si>
  <si>
    <t>Le % du montant des travaux de construction et celui des installations  complémentaires  particulières et aux autres équipements et meubles  , qui revient aux études techniques,économiques et aux campagnes topographiques et géotehniques   est recommandé</t>
  </si>
  <si>
    <t>Le % du montant des travaux de construction et celui des installations  complémentaires particulières et aux autres équipements et meubles  , qui revient  aux prestations de controles et de pilotages   est recommandé</t>
  </si>
  <si>
    <t>Les % du montant des  investissements affectés aux  imprévus physiques pour les travaux de construction ainsi que pour les installations complémentaires particulières   et pour les autres équipements et meubles  recommandés  sont les suivants :</t>
  </si>
  <si>
    <t xml:space="preserve">* Pour les installations complémentaires particulères : 5 % du montant de ces installations </t>
  </si>
  <si>
    <t>Pour 2023 et aux dela ,  le taux projeté est de :</t>
  </si>
  <si>
    <t xml:space="preserve">et l'année de référence des statistiques pour chaque </t>
  </si>
  <si>
    <t>Le % des couts de dévelopement du terrain est recommandé</t>
  </si>
  <si>
    <t xml:space="preserve"> * Pour les études techniques,économiques , les campagnes    topographiques et  géotechniques  ainsi que pour  les missions de pilotage et de contrôle</t>
  </si>
  <si>
    <t>Inserer l'échancier de réalisation du Projet</t>
  </si>
  <si>
    <r>
      <rPr>
        <b/>
        <sz val="11"/>
        <rFont val="Calibri"/>
        <family val="2"/>
      </rPr>
      <t>Estimation du montant  des installations complémentaires particulières</t>
    </r>
    <r>
      <rPr>
        <sz val="11"/>
        <rFont val="Calibri"/>
        <family val="2"/>
      </rPr>
      <t xml:space="preserve"> comme les branchements aux réseaux de la Sonede, la Steg , l'Onas ainsi que les équipements audio-visuelles, la connexion internet WIFI, etc.(% du montant des travaux de construction)</t>
    </r>
  </si>
  <si>
    <r>
      <rPr>
        <b/>
        <sz val="11"/>
        <rFont val="Calibri"/>
        <family val="2"/>
      </rPr>
      <t>Les études techniques et économiques ainsi que   les campagnes topographiques et géotechniques</t>
    </r>
    <r>
      <rPr>
        <sz val="11"/>
        <rFont val="Calibri"/>
        <family val="2"/>
      </rPr>
      <t xml:space="preserve">  représentent 9,5%  du cout des constructions et  des installations complémentaires  particulières  ainsi que celui des équipements et meubles y compris matériels d'entretien et de maintenance)</t>
    </r>
  </si>
  <si>
    <r>
      <t xml:space="preserve">Provision pour Imprévus physiques: </t>
    </r>
    <r>
      <rPr>
        <sz val="11"/>
        <rFont val="Calibri"/>
        <family val="2"/>
      </rPr>
      <t>( %  du cout des travaux de  constructions et  des installations complémentaires particulières  ainsi que celui  des équipements et meubles y compris matériels  de maintenance et d'entretien) estimé  comme suit:</t>
    </r>
  </si>
  <si>
    <r>
      <t xml:space="preserve">    *</t>
    </r>
    <r>
      <rPr>
        <sz val="11"/>
        <rFont val="Calibri"/>
        <family val="2"/>
      </rPr>
      <t>Equipements et meubles y compris materiels d'entretiens et de maintenances</t>
    </r>
  </si>
  <si>
    <t>Le % d'augmentation annuel des frais du personnel  est fixé</t>
  </si>
  <si>
    <t xml:space="preserve">Le taux d'actualisation de la Valeur Actualisé   Nette (VAN ) des flux de trésoreries recommandé est de 5% </t>
  </si>
  <si>
    <t>Les conditions de financement des emprunts CPSCL sont plus avantageuses que celles des autres banques</t>
  </si>
  <si>
    <t>Autres emprunts contractés avec des banques commerciales</t>
  </si>
  <si>
    <t>Le % du montant des travaux de construction qui revient aux  autres équipements et meubles  ainsi qu'aux  matériels d'entretien et de maintenance (3)   est recommandé</t>
  </si>
  <si>
    <t>Le taux d'inflation  publié  par l'Institut National de la Statistique en 2019 est inscrit</t>
  </si>
  <si>
    <t>Les taux d'inflation  prévisionnels retenus par l'INS  sont inscrits</t>
  </si>
  <si>
    <t>Le taux d'inflation  projeté est inscrit</t>
  </si>
  <si>
    <t>Les taux de la TVA en vigueur selon la loi des finances de 2020 sont  inscrits</t>
  </si>
  <si>
    <t>الاستثمارات اللازمة للمشروع باعتبار الاداءات على القيمة المضافة و بدونها</t>
  </si>
  <si>
    <t xml:space="preserve">تقدير كلفة  المعدات الفنية الخصوصية  كعمليات الربط بالشبكات العمومية للمياه والكهرباء والتطهير وغيرها   ( هذه الكلفة  تمثل نسبة مئوية من تكاليف الاشغال المدنية)                                      </t>
  </si>
  <si>
    <t xml:space="preserve">تقدير كلفة  التجهيزات  الأخرى والاثاث بما  في ذلك معدات  الاستغلال والصيانة   ( هذه الكلفة تمثل نسبة مئوية من تكاليف الاشغال المدنية) .                                                </t>
  </si>
  <si>
    <t xml:space="preserve">تقدير كلفة الدراسات الفنية والاقتصادية والاشغال التوبوغرافية  والجيوفنية ( هذه الكلفة تمثل نسبة مئوية من تكاليف الاشغال المدنية والمعدات الفنية الخصوصية والتجهيزات  الأخرى والاثاث بما  في ذلك معدات  الاستغلال والصيانة </t>
  </si>
  <si>
    <t>تقدير كلفة  خدمات المراقبة والتسيير ( هذه الكلفة تمثل نسبة  مئوية من تكاليف الاشغال المدنية والمعدات الفنية الخصوصية والتجهيزات  الأخرى والاثاث بما  في ذلك معدات  الاستغلال والصيانة )</t>
  </si>
  <si>
    <t>الكلفة الأساسية للمشرروع</t>
  </si>
  <si>
    <t>المدخرات للطوارئ الفنية  وهي تمثل   نسبة  مئوية من تكاليف الاشغال المدنية والمعدات الفنية الخصوصية والتجهيزات  الأخرى والاثاث بما  في ذلك معدات  الاستغلال والصيانة . هذه النسبة تم تقديرها كما يلي :</t>
  </si>
  <si>
    <r>
      <t xml:space="preserve"> </t>
    </r>
    <r>
      <rPr>
        <b/>
        <sz val="11"/>
        <rFont val="Calibri"/>
        <family val="2"/>
      </rPr>
      <t>5%</t>
    </r>
    <r>
      <rPr>
        <sz val="11"/>
        <rFont val="Calibri"/>
        <family val="2"/>
      </rPr>
      <t xml:space="preserve">بالنسبة  للتجهيزات  الأخرى والاثاث بما  في ذلك معدات  الاستغلال والصيانة       </t>
    </r>
  </si>
  <si>
    <r>
      <t xml:space="preserve">      </t>
    </r>
    <r>
      <rPr>
        <b/>
        <sz val="11"/>
        <rFont val="Calibri"/>
        <family val="2"/>
      </rPr>
      <t>9%</t>
    </r>
    <r>
      <rPr>
        <sz val="11"/>
        <rFont val="Calibri"/>
        <family val="2"/>
      </rPr>
      <t xml:space="preserve">بالنسبة للاشغال المدنية     </t>
    </r>
  </si>
  <si>
    <r>
      <t xml:space="preserve">      </t>
    </r>
    <r>
      <rPr>
        <b/>
        <sz val="11"/>
        <rFont val="Calibri"/>
        <family val="2"/>
      </rPr>
      <t>5%</t>
    </r>
    <r>
      <rPr>
        <sz val="11"/>
        <rFont val="Calibri"/>
        <family val="2"/>
      </rPr>
      <t xml:space="preserve">بالنسبة للمعدات الفنية الخصوصية     </t>
    </r>
  </si>
  <si>
    <t>المدخرات المالية  لمجابهة ارتفاع الاسعار وقد تم احتسابها بالاعتماد على  مؤشر التضخم المالي وقد بلغ هذا المؤشر نسبة 6,7% سنة 2019 حسب المعهد الوطني للإحصاء</t>
  </si>
  <si>
    <t>ومن المؤمل   ان يبلغ  حجم هذا المؤشر  5,3 %  خلال سنوات 2020 و2021 و2022</t>
  </si>
  <si>
    <t>ومن المنتظر  ان يستقر حجم هذا المؤشر  في حدود  5% سنة 2023 وما يليها</t>
  </si>
  <si>
    <t>Calcul du coefficient d'inflation</t>
  </si>
  <si>
    <t>Période de réalisation du Projet</t>
  </si>
  <si>
    <t>Années d'exploitation du Projet</t>
  </si>
  <si>
    <t>Etudes techniques, économiques et campagnes  Topographiques  et géotechniques</t>
  </si>
  <si>
    <t>Evolution de la population du Projet</t>
  </si>
  <si>
    <t>Nombre des commerçants locataires</t>
  </si>
  <si>
    <t>Nombre de postes de travail crée par commercant</t>
  </si>
  <si>
    <t>1 Responsable (% du montant des investissements initiaux)</t>
  </si>
  <si>
    <t>1 Ingénieur/Controleur (% du montant des investissements initiaux)</t>
  </si>
  <si>
    <t>1 Secretaire/comptable (% du montant des investissements initiaux)</t>
  </si>
  <si>
    <t>Capital investit</t>
  </si>
  <si>
    <t>Charges d'exploitation afférentes au Projet</t>
  </si>
  <si>
    <t xml:space="preserve">Investissement de remplacement des installations complémentaires particulières   tous les 10 ans </t>
  </si>
  <si>
    <t>Investissement de remplacement des équipements  et meubles, y compris matériels d'entretien et de maintenance. tous les 5 ans</t>
  </si>
  <si>
    <t>Valeur résiduelle actualisée après une période d'explotation de 10 ans</t>
  </si>
  <si>
    <t>Valeur résiduelle actualisée après une période d'explotation de 20 ans</t>
  </si>
  <si>
    <t>Année de base 2019</t>
  </si>
  <si>
    <t>Années d'exploitation</t>
  </si>
  <si>
    <t xml:space="preserve">Total des investissements  initiaux de base  en DT </t>
  </si>
  <si>
    <t xml:space="preserve">Investisssement de remplacement des équipements et meubles  y compris le matériels d'entretiens (tous les 5 ans) avec  imprévus physiques et provisions pour hausse des prix </t>
  </si>
  <si>
    <t>Investissements initiaux</t>
  </si>
  <si>
    <t>Investissement initiaux</t>
  </si>
  <si>
    <t xml:space="preserve">Investissement de remplacement des installations  complémentaires particulères du projet tous les 10 ans </t>
  </si>
  <si>
    <t>Investissement de remplacement des équipements et meubles y compris  matériels d'entretien et de maintenance tous les 5 ans</t>
  </si>
  <si>
    <r>
      <rPr>
        <b/>
        <sz val="11"/>
        <rFont val="Calibri"/>
        <family val="2"/>
      </rPr>
      <t>Les prestations de contrôles  et de  pilotages</t>
    </r>
    <r>
      <rPr>
        <sz val="11"/>
        <rFont val="Calibri"/>
        <family val="2"/>
      </rPr>
      <t xml:space="preserve"> représentent 4,5% du cout des  études, des constructions et  des installations complémentaires ainsi que celui des  autres  équipements et meubles y compris matériels d'entrtien et de maintenance.</t>
    </r>
  </si>
  <si>
    <t>تقدير كلفة تهيئة المساحة المخصصة للمشروع بحساب 10% من كلفة الشراء</t>
  </si>
  <si>
    <t xml:space="preserve">مدة الامهال </t>
  </si>
  <si>
    <t xml:space="preserve"> القرض المتحصل عليه    عن طريق  صناديق او بنوك اخرى </t>
  </si>
  <si>
    <t xml:space="preserve">مدة اندثار  البناءات  والمنشات </t>
  </si>
  <si>
    <t xml:space="preserve"> مدة اندثار  المعدات الفنية الخاصة بالمشروع</t>
  </si>
  <si>
    <t xml:space="preserve">مدة اندثار التجهيزات والاثاث </t>
  </si>
  <si>
    <t xml:space="preserve">مدة اندثار الدراسات </t>
  </si>
  <si>
    <t>الاندثار</t>
  </si>
  <si>
    <t>Taux d'actualisation pour le calcul du Valeur Actuelle Nette  (proposition: 5%)</t>
  </si>
  <si>
    <t>مخطط التمويل</t>
  </si>
  <si>
    <t>قرض عن طريق صندوق القروض ودعم  الجماعات المحلية</t>
  </si>
  <si>
    <t>قروض من طرف  صناديق او بنوك أخرى</t>
  </si>
  <si>
    <t>المخطط الزمني لانجاز المشروع</t>
  </si>
  <si>
    <t>اقتناء الأرض وتهيئتها وإنجاز الدراسات الفنية والاقتصادية  والاعمال الطبوغرافية والجيوالفنية</t>
  </si>
  <si>
    <t>نشر طلبات العروض واسناد الصفقات  وانطلاق الاشغال</t>
  </si>
  <si>
    <t>دخول المشروع حيز الاستغلال</t>
  </si>
  <si>
    <t>انتهاء الاشغالواستلام  المشروع</t>
  </si>
  <si>
    <t xml:space="preserve">Population de ou des  Communes du Projet </t>
  </si>
  <si>
    <t xml:space="preserve">القيمة المضافة على الاشغال والمعدات واشغال التهيئة والحفر والتسطيح  </t>
  </si>
  <si>
    <t>القيمة المضافة علىى الدراسات  الفنية والاقتصادية والخدمات الطبوغرافية والجيوفنية والتسيير والمراقبة</t>
  </si>
  <si>
    <t>القيمة المضافة على الاشغال والخدمات والمعدات</t>
  </si>
  <si>
    <t>القيمة المضافة على ااقتناء الأراضي  و معلوم الكراء</t>
  </si>
  <si>
    <t>القيمة المضافة على الأجور  وعلى خدمة الدين</t>
  </si>
  <si>
    <t>القيمة المضافة على عمليات الصيانة والنفقات  الأخرى</t>
  </si>
  <si>
    <t>برنامج انجاز المشروع</t>
  </si>
  <si>
    <t>اقتناء وتهيئة الأرض المخصصة للمشروع</t>
  </si>
  <si>
    <t>السنة الأولى</t>
  </si>
  <si>
    <t>السنة الثانية</t>
  </si>
  <si>
    <t>السنة الثالثة</t>
  </si>
  <si>
    <t>الدراسات الفنية والقتصادية  والاشغال الطوبوغرافية والجيوفنية</t>
  </si>
  <si>
    <t>الاشغال المدنية</t>
  </si>
  <si>
    <t>تجهيزات اضافية خاصة</t>
  </si>
  <si>
    <t>معدات وتجهيزات الاستغلال والصيانة</t>
  </si>
  <si>
    <t xml:space="preserve">المراقبة وتسيير الاشغال </t>
  </si>
  <si>
    <t>عدد  الباعة المتسوغين</t>
  </si>
  <si>
    <t>العدد الاقصى للباعة المتسوغين</t>
  </si>
  <si>
    <t xml:space="preserve">  مواطن الشغل  التي يمكن بعثها من طرف  البائع الواحد المتسوغ</t>
  </si>
  <si>
    <t>المهندس المشرف على المشروع</t>
  </si>
  <si>
    <t xml:space="preserve">المسؤول على المشروع  </t>
  </si>
  <si>
    <t>المسؤول الإداري والمالي على المشروع</t>
  </si>
  <si>
    <t xml:space="preserve">المعطيات الاساسية الخاصة بالمشروع </t>
  </si>
  <si>
    <t>الكلفة التقديرية للمتر المربع الواحد</t>
  </si>
  <si>
    <t>المساحة اللازمة لانجاز المشروع</t>
  </si>
  <si>
    <t xml:space="preserve">                                                                 </t>
  </si>
  <si>
    <t xml:space="preserve"> تقديرت كلفة الاشغال   باعتبار  الاشغال الفنية      </t>
  </si>
  <si>
    <t>النسبة  السنوية  لتطور عدد الباعة   المتسوغين</t>
  </si>
  <si>
    <t>النسبة  السنوية  لتطور مبلغ الكراء الشهري</t>
  </si>
  <si>
    <t>التكاليف الراجعة للبلدية</t>
  </si>
  <si>
    <t>Pourcentage</t>
  </si>
  <si>
    <t>Estimation des coûts de développement du terrain en %</t>
  </si>
  <si>
    <t>Estimation du montant des travaux de  construction du projet y compris les installations techniques comme  la  climatisation, le plomberie, etc ainsi que les travaux de terrassements et de revètements</t>
  </si>
  <si>
    <t>Montant TND</t>
  </si>
  <si>
    <t xml:space="preserve"> * Pour les acquisitions foncières et les loyers </t>
  </si>
  <si>
    <t>TRI sans TVA</t>
  </si>
  <si>
    <r>
      <rPr>
        <b/>
        <sz val="16"/>
        <rFont val="Calibri"/>
        <family val="2"/>
      </rPr>
      <t>TRI</t>
    </r>
    <r>
      <rPr>
        <sz val="16"/>
        <rFont val="Calibri"/>
        <family val="2"/>
      </rPr>
      <t xml:space="preserve"> </t>
    </r>
    <r>
      <rPr>
        <b/>
        <sz val="16"/>
        <rFont val="Calibri"/>
        <family val="2"/>
      </rPr>
      <t>sans TVA</t>
    </r>
  </si>
  <si>
    <t>Informations de base</t>
  </si>
  <si>
    <r>
      <t xml:space="preserve">RENTABILITE DU PROJET / CALCULEE </t>
    </r>
    <r>
      <rPr>
        <b/>
        <sz val="16"/>
        <color rgb="FFFF0000"/>
        <rFont val="Calibri"/>
        <family val="2"/>
      </rPr>
      <t>AVEC</t>
    </r>
    <r>
      <rPr>
        <b/>
        <sz val="16"/>
        <rFont val="Calibri"/>
        <family val="2"/>
      </rPr>
      <t xml:space="preserve"> TVA</t>
    </r>
  </si>
  <si>
    <r>
      <rPr>
        <b/>
        <sz val="16"/>
        <rFont val="Calibri"/>
        <family val="2"/>
      </rPr>
      <t>TRI</t>
    </r>
    <r>
      <rPr>
        <sz val="16"/>
        <rFont val="Calibri"/>
        <family val="2"/>
      </rPr>
      <t xml:space="preserve"> </t>
    </r>
    <r>
      <rPr>
        <b/>
        <sz val="16"/>
        <rFont val="Calibri"/>
        <family val="2"/>
      </rPr>
      <t>avec TVA</t>
    </r>
  </si>
  <si>
    <t>Apport  de financement</t>
  </si>
  <si>
    <t xml:space="preserve">Investissement par habitant </t>
  </si>
  <si>
    <t>RENTABILITE DU PROJET / CALCULEE SANS TVA</t>
  </si>
  <si>
    <t>Montant des travaux de construction</t>
  </si>
  <si>
    <t>Apport de financement  (Prêt CPSCL)</t>
  </si>
  <si>
    <t xml:space="preserve"> le TRI aprés réduction</t>
  </si>
  <si>
    <t xml:space="preserve">Paramètres ayant fait l'objet d'une réduction de 20%  </t>
  </si>
  <si>
    <t>RENTABILITE FINANCIERE DU PROJET CALCULE AVEC TVA</t>
  </si>
  <si>
    <t>RENTABILITE FINANCIERE DU PROJET CALCULE SANS TVA</t>
  </si>
  <si>
    <t>Nombre d'emploi créé un   commerçant  locataire</t>
  </si>
  <si>
    <t>Années</t>
  </si>
  <si>
    <t>A</t>
  </si>
  <si>
    <t>B</t>
  </si>
  <si>
    <t>C</t>
  </si>
  <si>
    <t xml:space="preserve">Autres hypothèses pour les tests de sensibilités </t>
  </si>
  <si>
    <t>Le projet consiste en la construction d'un marché journalier dans la commune de xxxxxx qui comprend les composantes suivantes:</t>
  </si>
  <si>
    <t>1- Des boutiques fermées de superficies variant entre 16 et 20 m2 pour des activités diverses,</t>
  </si>
  <si>
    <t>Conception de l'Outil</t>
  </si>
  <si>
    <t>Compte de Résultat prévisionnel</t>
  </si>
  <si>
    <t xml:space="preserve">Revenues locales provenant des loyers </t>
  </si>
  <si>
    <t>Recettes totales provenant des Loyers annuels  en DT</t>
  </si>
  <si>
    <t>Cach-flow ou Capacité d'autofinancement</t>
  </si>
  <si>
    <t xml:space="preserve">Le présent outil permet de calculer les principaux indicateurs qui permettent de situer le niveau de rentabilité des projets en </t>
  </si>
  <si>
    <t xml:space="preserve">(DRCI). </t>
  </si>
  <si>
    <t>Données de bases  l'Outil</t>
  </si>
  <si>
    <t>Eléments fondamentaux de l'Outil</t>
  </si>
  <si>
    <t>Nombre</t>
  </si>
  <si>
    <t xml:space="preserve">Montant </t>
  </si>
  <si>
    <t>2- Ne pas toucher les champs en rouge</t>
  </si>
  <si>
    <t xml:space="preserve">DONNEES DE BASE DE CALCUL DE RENTABILITE FINANCIERE </t>
  </si>
  <si>
    <t>Accroissement %/an</t>
  </si>
  <si>
    <t xml:space="preserve">Hypothéses de base du calcul du TRI </t>
  </si>
  <si>
    <t>TRI calculé sous les hypothèses de base</t>
  </si>
  <si>
    <t>Niveau des hypothèses après réduction de20%</t>
  </si>
  <si>
    <t xml:space="preserve"> Emprunt CPSCL</t>
  </si>
  <si>
    <t>Cout de base du Projet avec TVA</t>
  </si>
  <si>
    <t>Cout de base du Projet sans TVA</t>
  </si>
  <si>
    <t>Construction ( y compris les installations techniques comme  la  climatisation, le plomberie, etc ainsi que les travaux de terrassements et de revètements)</t>
  </si>
  <si>
    <t>Installations techniques ( installations complémentaires particulières comme les branchements aux réseaux de la Sonede, la Steg , l'Onas ainsi que les équipements audio-visuelles, la connexion internet WIFI et autres</t>
  </si>
  <si>
    <t>Autres équipements et meubles, y compirs matériel d'entretien et de la maintenance</t>
  </si>
  <si>
    <t xml:space="preserve">Etudes techniques et économiques ainsi que les campagnes topographiques et géotechniques   </t>
  </si>
  <si>
    <t>Cout du Projet y compris imprévus physiques, hausse des prix et     sansTVA</t>
  </si>
  <si>
    <t>Valeur résiduelle après 10 ans d'exploitation   avec TVA</t>
  </si>
  <si>
    <t>Valeur résiduelle après 20 ans d'exploitation avec  TVA</t>
  </si>
  <si>
    <t>Valeur résiduelle après 10 ans d'explosans sans TVA</t>
  </si>
  <si>
    <t>Valeur résiduelle après 20 ans d'exploitation Sans TVA</t>
  </si>
  <si>
    <r>
      <rPr>
        <b/>
        <sz val="14"/>
        <color rgb="FFFF0000"/>
        <rFont val="Calibri"/>
        <family val="2"/>
      </rPr>
      <t>Délais de Récupération du Capital Investit ( DRCI)</t>
    </r>
    <r>
      <rPr>
        <b/>
        <sz val="14"/>
        <rFont val="Calibri"/>
        <family val="2"/>
      </rPr>
      <t xml:space="preserve"> </t>
    </r>
    <r>
      <rPr>
        <b/>
        <sz val="11"/>
        <rFont val="Calibri"/>
        <family val="2"/>
      </rPr>
      <t xml:space="preserve"> c'est l' indicateur qui permet  de déterminer période durant laquelle   la somme actualisée des Flux Nets de Trésoreries prévisionnels permet la récupération du montant du capital investit.</t>
    </r>
  </si>
  <si>
    <t>Subvention ou autres</t>
  </si>
  <si>
    <r>
      <rPr>
        <b/>
        <sz val="14"/>
        <color theme="1"/>
        <rFont val="Calibri"/>
        <family val="2"/>
      </rPr>
      <t>Projet de construction du marché</t>
    </r>
    <r>
      <rPr>
        <b/>
        <sz val="14"/>
        <color indexed="10"/>
        <rFont val="Calibri"/>
        <family val="2"/>
      </rPr>
      <t xml:space="preserve"> </t>
    </r>
    <r>
      <rPr>
        <b/>
        <i/>
        <sz val="14"/>
        <color rgb="FFDD0806"/>
        <rFont val="Calibri"/>
        <family val="2"/>
      </rPr>
      <t>(insérer le nom du projet)</t>
    </r>
  </si>
  <si>
    <r>
      <t xml:space="preserve">au profit de la commune de </t>
    </r>
    <r>
      <rPr>
        <b/>
        <i/>
        <sz val="14"/>
        <color indexed="10"/>
        <rFont val="Calibri"/>
        <family val="2"/>
      </rPr>
      <t>(insère le nom de la commune)</t>
    </r>
  </si>
  <si>
    <r>
      <t xml:space="preserve">Les éléments fondamentaux de l'Outil sont le </t>
    </r>
    <r>
      <rPr>
        <b/>
        <sz val="14"/>
        <rFont val="Calibri"/>
        <family val="2"/>
      </rPr>
      <t>Compte de Résultat Prévisionnel du Projet</t>
    </r>
    <r>
      <rPr>
        <sz val="14"/>
        <rFont val="Calibri"/>
        <family val="2"/>
      </rPr>
      <t xml:space="preserve"> qui permet de dégager le Cash-flow </t>
    </r>
  </si>
  <si>
    <r>
      <t>annuel</t>
    </r>
    <r>
      <rPr>
        <b/>
        <sz val="14"/>
        <rFont val="Calibri"/>
        <family val="2"/>
      </rPr>
      <t xml:space="preserve"> ou</t>
    </r>
    <r>
      <rPr>
        <sz val="14"/>
        <rFont val="Calibri"/>
        <family val="2"/>
      </rPr>
      <t xml:space="preserve"> Autofinancement</t>
    </r>
    <r>
      <rPr>
        <b/>
        <sz val="14"/>
        <rFont val="Calibri"/>
        <family val="2"/>
      </rPr>
      <t xml:space="preserve"> et le Tableau Emplois/Ressources</t>
    </r>
    <r>
      <rPr>
        <sz val="14"/>
        <rFont val="Calibri"/>
        <family val="2"/>
      </rPr>
      <t xml:space="preserve"> qui permet de dégager le Flux annuel Net de Trésorerie.</t>
    </r>
  </si>
  <si>
    <r>
      <t xml:space="preserve">L'outil comprend des </t>
    </r>
    <r>
      <rPr>
        <b/>
        <sz val="14"/>
        <rFont val="Calibri"/>
        <family val="2"/>
      </rPr>
      <t xml:space="preserve">données variables </t>
    </r>
    <r>
      <rPr>
        <sz val="14"/>
        <rFont val="Calibri"/>
        <family val="2"/>
      </rPr>
      <t xml:space="preserve">et des </t>
    </r>
    <r>
      <rPr>
        <b/>
        <sz val="14"/>
        <rFont val="Calibri"/>
        <family val="2"/>
      </rPr>
      <t>données fixes</t>
    </r>
  </si>
  <si>
    <r>
      <rPr>
        <b/>
        <sz val="14"/>
        <rFont val="Calibri"/>
        <family val="2"/>
      </rPr>
      <t>Les données variables</t>
    </r>
    <r>
      <rPr>
        <sz val="14"/>
        <rFont val="Calibri"/>
        <family val="2"/>
      </rPr>
      <t xml:space="preserve"> sont relatives aux composantes  du Projet, à la superficie du terrain qui lui est réservée, à l’échéancier de </t>
    </r>
  </si>
  <si>
    <r>
      <rPr>
        <b/>
        <sz val="14"/>
        <rFont val="Calibri"/>
        <family val="2"/>
      </rPr>
      <t>Les données  fixes</t>
    </r>
    <r>
      <rPr>
        <sz val="14"/>
        <rFont val="Calibri"/>
        <family val="2"/>
      </rPr>
      <t xml:space="preserve"> sont de 2 types :</t>
    </r>
  </si>
  <si>
    <t xml:space="preserve">terrassement et de revêtements  d'estimer  (i) le montant des installations complémentaires particulières comme les </t>
  </si>
  <si>
    <t xml:space="preserve">branchements aux réseaux de la SONEDE, de la STEG, l’ONAS etc., (ii) le montant de toutes autres équipements et meubles, y </t>
  </si>
  <si>
    <t xml:space="preserve">compris  les installations techniques comme l'électricité , la climatisation, la plomberie, etc. ainsi que les travaux de </t>
  </si>
  <si>
    <t>PRESENTATION DU PROJET QUI FERA L'OBJET DE RENTABILITE FINANCIERE</t>
  </si>
  <si>
    <t>CONCEPTION DE L'OUTIL DE CALCUL DE RENTABILITE FINANCIERE</t>
  </si>
  <si>
    <t>Préambule</t>
  </si>
  <si>
    <t>Frais d'entretien (% annuelle des investissements )</t>
  </si>
  <si>
    <t>Année 2023 comme prévu</t>
  </si>
  <si>
    <t>Un retard d'une année de mise en service du Projet</t>
  </si>
  <si>
    <t xml:space="preserve">Retard d'une année de mise en service du Projet </t>
  </si>
  <si>
    <t xml:space="preserve">* Autres prestations </t>
  </si>
  <si>
    <t xml:space="preserve">l’occurrence la Valeur Actualisé Nette  (VAN), le Taux de Rentabilité Interne (TRI) et le Délai de Récupération du Capital Investit </t>
  </si>
  <si>
    <r>
      <t xml:space="preserve">Le Cash-Flow ou  Capacité d'Autofinancement </t>
    </r>
    <r>
      <rPr>
        <sz val="14"/>
        <rFont val="Calibri"/>
        <family val="2"/>
      </rPr>
      <t xml:space="preserve">est calculé en retranchant de la somme annuel des Recettes d'exploitation </t>
    </r>
  </si>
  <si>
    <t xml:space="preserve">(recettes  provovenant des loyers annuels des boutiques et des droits de places) les Charges d'exploitation décaissables   </t>
  </si>
  <si>
    <t xml:space="preserve">emprunts et la valeur résiduelle des immobilisations) la somme annuelle des ressources (les investissements initiaux et de  </t>
  </si>
  <si>
    <r>
      <t>Type 1</t>
    </r>
    <r>
      <rPr>
        <sz val="14"/>
        <rFont val="Calibri"/>
        <family val="2"/>
      </rPr>
      <t xml:space="preserve"> : Des ratios en % qui permettent à partir d'une évaluation réaliste du montant des travaux de construction du projet  y   </t>
    </r>
  </si>
  <si>
    <t>campagnes topographiques et géotechniques et (iv) le montant des prestations  de contrôle et de pilotage.</t>
  </si>
  <si>
    <t>Cout du Projet y compris imprévus physiques , hausse        prix et        avec TVA</t>
  </si>
  <si>
    <t>VAN sans TVA</t>
  </si>
  <si>
    <t>DRCI sans TVA</t>
  </si>
  <si>
    <r>
      <rPr>
        <b/>
        <sz val="16"/>
        <rFont val="Calibri"/>
        <family val="2"/>
      </rPr>
      <t>VAN</t>
    </r>
    <r>
      <rPr>
        <sz val="16"/>
        <rFont val="Calibri"/>
        <family val="2"/>
      </rPr>
      <t xml:space="preserve"> </t>
    </r>
    <r>
      <rPr>
        <b/>
        <sz val="16"/>
        <rFont val="Calibri"/>
        <family val="2"/>
      </rPr>
      <t>sans TVA</t>
    </r>
  </si>
  <si>
    <r>
      <rPr>
        <b/>
        <sz val="16"/>
        <rFont val="Calibri"/>
        <family val="2"/>
      </rPr>
      <t>VAN</t>
    </r>
    <r>
      <rPr>
        <sz val="16"/>
        <rFont val="Calibri"/>
        <family val="2"/>
      </rPr>
      <t xml:space="preserve"> </t>
    </r>
    <r>
      <rPr>
        <b/>
        <sz val="16"/>
        <rFont val="Calibri"/>
        <family val="2"/>
      </rPr>
      <t>avec TVA</t>
    </r>
  </si>
  <si>
    <t>TRI avec TVA</t>
  </si>
  <si>
    <t>DRCI avec TVA</t>
  </si>
  <si>
    <t>2- Une boucherie pour une dizaine de bouchers et de poissonniers,</t>
  </si>
  <si>
    <t xml:space="preserve">3- Des hangars couverts, </t>
  </si>
  <si>
    <t xml:space="preserve">4- Des espaces de dégagements centraux revêtus pour les étalages de vente des fruits et des légumes </t>
  </si>
  <si>
    <t>5- Un bloc sanitaire</t>
  </si>
  <si>
    <t>6- L'acquisition du matériel d'entretien et de maintenance</t>
  </si>
  <si>
    <t>Niveau des autres charges(% des investissements)</t>
  </si>
  <si>
    <t xml:space="preserve">1) Mettez les valeurs en rouge une par une dans la base de donnée  </t>
  </si>
  <si>
    <t>Manière de calcul de chaque "TRI après réduction"</t>
  </si>
  <si>
    <t>Recette à partir de l'année N+1</t>
  </si>
  <si>
    <t xml:space="preserve">Impacts de la réduction de 20% du niveau des hypothèses de base sur le niveau du TRI </t>
  </si>
  <si>
    <t>Le  % des investissements qui revient au resposable du Projet est fixé</t>
  </si>
  <si>
    <t>physiques et financiers</t>
  </si>
  <si>
    <t xml:space="preserve">Total des investissements y compris terrain, aménagemets, </t>
  </si>
  <si>
    <t xml:space="preserve">études, travaux de construction, équipements et imprévus </t>
  </si>
  <si>
    <t>Diagrammes de rentabilité (Calculée avec TVA)</t>
  </si>
  <si>
    <r>
      <t>VAN,TRI et DRCI</t>
    </r>
    <r>
      <rPr>
        <sz val="16"/>
        <rFont val="Calibri"/>
        <family val="2"/>
      </rPr>
      <t xml:space="preserve"> pour une durée d'exploitation de </t>
    </r>
    <r>
      <rPr>
        <b/>
        <sz val="16"/>
        <color rgb="FFFF0000"/>
        <rFont val="Calibri"/>
        <family val="2"/>
      </rPr>
      <t>10 ans</t>
    </r>
    <r>
      <rPr>
        <b/>
        <sz val="16"/>
        <rFont val="Calibri"/>
        <family val="2"/>
      </rPr>
      <t xml:space="preserve"> </t>
    </r>
  </si>
  <si>
    <r>
      <t>VAN,TRI et DRCI</t>
    </r>
    <r>
      <rPr>
        <sz val="16"/>
        <rFont val="Calibri"/>
        <family val="2"/>
      </rPr>
      <t xml:space="preserve"> pour une durée d'exploitation de </t>
    </r>
    <r>
      <rPr>
        <b/>
        <sz val="16"/>
        <color rgb="FFFF0000"/>
        <rFont val="Calibri"/>
        <family val="2"/>
      </rPr>
      <t>20 ans</t>
    </r>
    <r>
      <rPr>
        <b/>
        <sz val="16"/>
        <rFont val="Calibri"/>
        <family val="2"/>
      </rPr>
      <t xml:space="preserve"> </t>
    </r>
  </si>
  <si>
    <r>
      <t xml:space="preserve">VAN, TRI et DRCI </t>
    </r>
    <r>
      <rPr>
        <sz val="18"/>
        <rFont val="Calibri"/>
        <family val="2"/>
      </rPr>
      <t xml:space="preserve">pour une durée d'exploitation de </t>
    </r>
    <r>
      <rPr>
        <b/>
        <sz val="18"/>
        <color rgb="FFFF0000"/>
        <rFont val="Calibri"/>
        <family val="2"/>
      </rPr>
      <t xml:space="preserve">10 ans </t>
    </r>
  </si>
  <si>
    <r>
      <t>VAN, TRI et DRCI</t>
    </r>
    <r>
      <rPr>
        <sz val="18"/>
        <rFont val="Calibri"/>
        <family val="2"/>
      </rPr>
      <t xml:space="preserve"> pour une durée d'exploitation de </t>
    </r>
    <r>
      <rPr>
        <b/>
        <sz val="18"/>
        <color rgb="FFFF0000"/>
        <rFont val="Calibri"/>
        <family val="2"/>
      </rPr>
      <t xml:space="preserve">20 ans </t>
    </r>
  </si>
  <si>
    <t>Résumé</t>
  </si>
  <si>
    <t>Légende</t>
  </si>
  <si>
    <t>DRCI = Le Délai de Récupération du Capital Investi</t>
  </si>
  <si>
    <t>VAN = La Valeur Actuelle Nette       TRI= Le Taux de Rentabilité Interne</t>
  </si>
  <si>
    <t>réalisation des différentes composantes du Projet, aux données économiques liées au Projet, aux apports de financements  etc.</t>
  </si>
  <si>
    <t xml:space="preserve">(charges directes et indirectes et les charges financières des emprunts à contracter). </t>
  </si>
  <si>
    <t xml:space="preserve">Avant d'entamer les démarches de mise en œuvre du Projet, il y a lieu de faire une évaluation de sa rentabilité financière. </t>
  </si>
  <si>
    <r>
      <rPr>
        <b/>
        <sz val="14"/>
        <rFont val="Calibri"/>
        <family val="2"/>
      </rPr>
      <t>Actuelle Nette</t>
    </r>
    <r>
      <rPr>
        <sz val="14"/>
        <rFont val="Calibri"/>
        <family val="2"/>
      </rPr>
      <t xml:space="preserve"> (VAN) , le </t>
    </r>
    <r>
      <rPr>
        <b/>
        <sz val="14"/>
        <rFont val="Calibri"/>
        <family val="2"/>
      </rPr>
      <t>Taux de Rentabilité Interne</t>
    </r>
    <r>
      <rPr>
        <sz val="14"/>
        <rFont val="Calibri"/>
        <family val="2"/>
      </rPr>
      <t xml:space="preserve"> (TRI) et le </t>
    </r>
    <r>
      <rPr>
        <b/>
        <sz val="14"/>
        <rFont val="Calibri"/>
        <family val="2"/>
      </rPr>
      <t>Délai de Récupération du Capital Investi</t>
    </r>
    <r>
      <rPr>
        <sz val="14"/>
        <rFont val="Calibri"/>
        <family val="2"/>
      </rPr>
      <t xml:space="preserve"> (DRCI).</t>
    </r>
  </si>
  <si>
    <r>
      <t xml:space="preserve">remplacement et le remboursement des emprunts à contracter). L'actualisation du FNT permet de calculer la </t>
    </r>
    <r>
      <rPr>
        <b/>
        <sz val="14"/>
        <rFont val="Calibri"/>
        <family val="2"/>
      </rPr>
      <t>Valeur</t>
    </r>
  </si>
  <si>
    <t xml:space="preserve">1) L'impôt n'a pas été considéré puisque les communes y sont exonérées et </t>
  </si>
  <si>
    <t xml:space="preserve">Il est à noter que: </t>
  </si>
  <si>
    <r>
      <rPr>
        <sz val="14"/>
        <rFont val="Calibri"/>
        <family val="2"/>
      </rPr>
      <t xml:space="preserve">2) </t>
    </r>
    <r>
      <rPr>
        <b/>
        <sz val="14"/>
        <rFont val="Calibri"/>
        <family val="2"/>
      </rPr>
      <t>Le Flux annuel Net de trésorerie</t>
    </r>
    <r>
      <rPr>
        <sz val="14"/>
        <rFont val="Calibri"/>
        <family val="2"/>
      </rPr>
      <t xml:space="preserve"> </t>
    </r>
    <r>
      <rPr>
        <b/>
        <sz val="14"/>
        <rFont val="Calibri"/>
        <family val="2"/>
      </rPr>
      <t>(FNT)</t>
    </r>
    <r>
      <rPr>
        <sz val="14"/>
        <rFont val="Calibri"/>
        <family val="2"/>
      </rPr>
      <t xml:space="preserve"> est calculé en retranchant de la somme annuel des Ressources ( le Cash-flow , les </t>
    </r>
  </si>
  <si>
    <t>3) Les besoins en fonds de roulement  n'ont pas été considérés puisque les projets économiques type marché communal ont</t>
  </si>
  <si>
    <t>généralement  des recettes mensuelles qui couvrent les charges courantes.</t>
  </si>
  <si>
    <t>l'utilisateur de l'outil</t>
  </si>
  <si>
    <t xml:space="preserve">compris le matériel d'entretien et de  maintenance , (iii) le montant des études techniques et économiques ainsi que des </t>
  </si>
  <si>
    <r>
      <t>Type 2</t>
    </r>
    <r>
      <rPr>
        <sz val="14"/>
        <rFont val="Calibri"/>
        <family val="2"/>
      </rPr>
      <t xml:space="preserve"> : des ratios en % qui permettent d'estimer les imprévus physiques découlant de la variation de la masse des travaux  et </t>
    </r>
  </si>
  <si>
    <t xml:space="preserve">des taux d'inflation pour calculer les imprévus financiers découlant de la hausse des prix et ce à fin d'évaluer le montant des </t>
  </si>
  <si>
    <t>investissements aux prix courants.</t>
  </si>
  <si>
    <r>
      <t xml:space="preserve">Ces % et ces taux sont consignés au niveau des cellules colorées en rouge de la </t>
    </r>
    <r>
      <rPr>
        <i/>
        <u/>
        <sz val="14"/>
        <rFont val="Calibri"/>
        <family val="2"/>
      </rPr>
      <t>feuille -3- Données de base-</t>
    </r>
  </si>
  <si>
    <r>
      <t xml:space="preserve">Ces données correspondent aux cellules colorées en vert au niveau de la </t>
    </r>
    <r>
      <rPr>
        <i/>
        <u/>
        <sz val="14"/>
        <rFont val="Calibri"/>
        <family val="2"/>
      </rPr>
      <t>feuille -3- Données de base-</t>
    </r>
    <r>
      <rPr>
        <sz val="14"/>
        <rFont val="Calibri"/>
        <family val="2"/>
      </rPr>
      <t xml:space="preserve"> qui sont à remplir par  </t>
    </r>
  </si>
  <si>
    <t>Présentation du Projet</t>
  </si>
  <si>
    <t>NB: La description ci-dessus est un exemple qui montre comment fonctionne l'outil de calcul. 
Veuillez adapter le texte marqué en vert à votre projet réel.</t>
  </si>
  <si>
    <t>Mise en service du Projet (au plus tard)</t>
  </si>
  <si>
    <t>La sensibilité du TRI a été analysée (1) en réduisant de 20% les hypothèses les plus importantes utilisées dans les projections telles que le niveau du loyer et son taux de croissance, le nombre de commerçants locataires et son évolution, les charges d'exploitation le niveau des investissements et (2) un retard d'une année de recettes.</t>
  </si>
  <si>
    <t>ANALYSE DE SENSIBILITE DU PROJET</t>
  </si>
  <si>
    <t xml:space="preserve">2) Insérez le TRI correspondant de la cellule C/40 du tableau "Résultats avec TVA" comme chiffre en couleur verte </t>
  </si>
  <si>
    <t xml:space="preserve">    dans la colonne "le TRI après réduction"</t>
  </si>
  <si>
    <t>3) TRES IMPORTANT: Après l'incertion de la valeur, re-insérez la valeure initiale dans la base de données</t>
  </si>
  <si>
    <t>4) Continuez avec le paramètre suivant et repetez les étapes 1) à 3)</t>
  </si>
</sst>
</file>

<file path=xl/styles.xml><?xml version="1.0" encoding="utf-8"?>
<styleSheet xmlns="http://schemas.openxmlformats.org/spreadsheetml/2006/main">
  <numFmts count="19">
    <numFmt numFmtId="164" formatCode="#,##0.00\ &quot;€&quot;;[Red]\-#,##0.00\ &quot;€&quot;"/>
    <numFmt numFmtId="165" formatCode="_(* #,##0.00_);_(* \(#,##0.00\);_(* &quot;-&quot;??_);_(@_)"/>
    <numFmt numFmtId="166" formatCode="0.0000"/>
    <numFmt numFmtId="167" formatCode="0.0%"/>
    <numFmt numFmtId="168" formatCode="_-* #,##0_€_-;\-* #,##0_€_-;_-* &quot;-&quot;??_€_-;_-@_-"/>
    <numFmt numFmtId="169" formatCode="_-* #,##0\ [$TND]_-;\-* #,##0\ [$TND]_-;_-* &quot;-&quot;??\ [$TND]_-;_-@_-"/>
    <numFmt numFmtId="170" formatCode="_(* #,##0_);_(* \(#,##0\);_(* &quot;-&quot;??_);_(@_)"/>
    <numFmt numFmtId="171" formatCode="#,##0_ ;[Red]\-#,##0\ "/>
    <numFmt numFmtId="172" formatCode="0.000"/>
    <numFmt numFmtId="173" formatCode="0.000%"/>
    <numFmt numFmtId="174" formatCode="0.0"/>
    <numFmt numFmtId="175" formatCode="#,##0.000_ ;\-#,##0.000\ "/>
    <numFmt numFmtId="176" formatCode="#,##0.0"/>
    <numFmt numFmtId="177" formatCode="_-* #,##0\ [$TND]_-;\-* #,##0\ [$TND]_-;_-* &quot;-&quot;\ [$TND]_-;_-@_-"/>
    <numFmt numFmtId="178" formatCode="_(* ###0_);_(* \(###0\);_(* &quot;-&quot;??_);_(@_)"/>
    <numFmt numFmtId="179" formatCode="#,##0.000\ [$TND];\-#,##0.000\ [$TND]"/>
    <numFmt numFmtId="180" formatCode="#,##0\ [$TND]"/>
    <numFmt numFmtId="181" formatCode="#,##0.0_ ;\-#,##0.0\ "/>
    <numFmt numFmtId="182" formatCode="#,##0\ [$TND];[Red]\-#,##0\ [$TND]"/>
  </numFmts>
  <fonts count="86">
    <font>
      <sz val="10"/>
      <name val="Verdana"/>
    </font>
    <font>
      <sz val="11"/>
      <color indexed="8"/>
      <name val="Calibri"/>
      <family val="2"/>
    </font>
    <font>
      <sz val="10"/>
      <name val="Verdana"/>
      <family val="2"/>
    </font>
    <font>
      <sz val="8"/>
      <name val="Verdana"/>
      <family val="2"/>
    </font>
    <font>
      <b/>
      <sz val="11"/>
      <name val="Calibri"/>
      <family val="2"/>
    </font>
    <font>
      <sz val="11"/>
      <name val="Calibri"/>
      <family val="2"/>
    </font>
    <font>
      <sz val="11"/>
      <color indexed="10"/>
      <name val="Calibri"/>
      <family val="2"/>
    </font>
    <font>
      <vertAlign val="superscript"/>
      <sz val="11"/>
      <name val="Calibri"/>
      <family val="2"/>
    </font>
    <font>
      <sz val="11"/>
      <color indexed="12"/>
      <name val="Calibri"/>
      <family val="2"/>
    </font>
    <font>
      <sz val="10"/>
      <name val="Calibri"/>
      <family val="2"/>
    </font>
    <font>
      <b/>
      <sz val="11"/>
      <color indexed="11"/>
      <name val="Calibri"/>
      <family val="2"/>
    </font>
    <font>
      <sz val="11"/>
      <color indexed="11"/>
      <name val="Calibri"/>
      <family val="2"/>
    </font>
    <font>
      <vertAlign val="superscript"/>
      <sz val="11"/>
      <color indexed="12"/>
      <name val="Calibri"/>
      <family val="2"/>
    </font>
    <font>
      <sz val="8"/>
      <name val="Calibri"/>
      <family val="2"/>
    </font>
    <font>
      <b/>
      <sz val="16"/>
      <name val="Calibri"/>
      <family val="2"/>
    </font>
    <font>
      <b/>
      <sz val="10"/>
      <name val="Calibri"/>
      <family val="2"/>
    </font>
    <font>
      <sz val="11"/>
      <name val="Calibri"/>
      <family val="2"/>
    </font>
    <font>
      <b/>
      <sz val="10"/>
      <name val="Arial Bold"/>
    </font>
    <font>
      <sz val="10"/>
      <name val="Calibri"/>
      <family val="2"/>
    </font>
    <font>
      <sz val="12"/>
      <name val="Calibri"/>
      <family val="2"/>
    </font>
    <font>
      <sz val="11"/>
      <name val="Calibri"/>
      <family val="2"/>
    </font>
    <font>
      <b/>
      <sz val="12"/>
      <name val="Calibri"/>
      <family val="2"/>
    </font>
    <font>
      <b/>
      <sz val="11"/>
      <name val="Calibri"/>
      <family val="2"/>
    </font>
    <font>
      <b/>
      <sz val="11"/>
      <color indexed="8"/>
      <name val="Calibri"/>
      <family val="2"/>
    </font>
    <font>
      <sz val="11"/>
      <color indexed="8"/>
      <name val="Calibri"/>
      <family val="2"/>
    </font>
    <font>
      <b/>
      <sz val="10"/>
      <name val="Calibri"/>
      <family val="2"/>
    </font>
    <font>
      <b/>
      <sz val="11"/>
      <color indexed="10"/>
      <name val="Calibri"/>
      <family val="2"/>
    </font>
    <font>
      <b/>
      <i/>
      <sz val="11"/>
      <name val="Calibri"/>
      <family val="2"/>
    </font>
    <font>
      <b/>
      <sz val="12"/>
      <color indexed="39"/>
      <name val="Calibri"/>
      <family val="2"/>
    </font>
    <font>
      <b/>
      <sz val="11"/>
      <color indexed="39"/>
      <name val="Calibri"/>
      <family val="2"/>
    </font>
    <font>
      <sz val="11"/>
      <color indexed="39"/>
      <name val="Calibri"/>
      <family val="2"/>
    </font>
    <font>
      <b/>
      <sz val="14"/>
      <name val="Calibri"/>
      <family val="2"/>
    </font>
    <font>
      <sz val="11"/>
      <name val="Arial"/>
      <family val="2"/>
    </font>
    <font>
      <sz val="9"/>
      <name val="Verdana"/>
      <family val="2"/>
    </font>
    <font>
      <b/>
      <sz val="10"/>
      <name val="Verdana"/>
      <family val="2"/>
    </font>
    <font>
      <i/>
      <sz val="11"/>
      <name val="Calibri"/>
      <family val="2"/>
    </font>
    <font>
      <b/>
      <sz val="10"/>
      <color rgb="FFFF0000"/>
      <name val="Verdana"/>
      <family val="2"/>
    </font>
    <font>
      <b/>
      <sz val="12"/>
      <color rgb="FFFF0000"/>
      <name val="Calibri"/>
      <family val="2"/>
    </font>
    <font>
      <b/>
      <sz val="11"/>
      <color rgb="FFFF0000"/>
      <name val="Calibri"/>
      <family val="2"/>
    </font>
    <font>
      <sz val="10"/>
      <color theme="1"/>
      <name val="Calibri"/>
      <family val="2"/>
      <scheme val="minor"/>
    </font>
    <font>
      <sz val="10"/>
      <color theme="1"/>
      <name val="Verdana"/>
      <family val="2"/>
    </font>
    <font>
      <b/>
      <sz val="16"/>
      <color theme="0"/>
      <name val="Calibri"/>
      <family val="2"/>
    </font>
    <font>
      <sz val="10"/>
      <color theme="4"/>
      <name val="Verdana"/>
      <family val="2"/>
    </font>
    <font>
      <b/>
      <sz val="10"/>
      <color theme="4"/>
      <name val="Verdana"/>
      <family val="2"/>
    </font>
    <font>
      <sz val="11"/>
      <color rgb="FFFF0000"/>
      <name val="Calibri"/>
      <family val="2"/>
    </font>
    <font>
      <b/>
      <sz val="11"/>
      <color theme="1"/>
      <name val="Calibri"/>
      <family val="2"/>
    </font>
    <font>
      <sz val="11"/>
      <color theme="1"/>
      <name val="Calibri"/>
      <family val="2"/>
    </font>
    <font>
      <b/>
      <sz val="11"/>
      <color rgb="FF00B050"/>
      <name val="Calibri"/>
      <family val="2"/>
    </font>
    <font>
      <b/>
      <sz val="11"/>
      <color rgb="FF0070C0"/>
      <name val="Calibri"/>
      <family val="2"/>
    </font>
    <font>
      <b/>
      <sz val="16"/>
      <name val="Verdana"/>
      <family val="2"/>
    </font>
    <font>
      <b/>
      <sz val="10"/>
      <color theme="1"/>
      <name val="Verdana"/>
      <family val="2"/>
    </font>
    <font>
      <sz val="11"/>
      <color rgb="FF00B050"/>
      <name val="Calibri"/>
      <family val="2"/>
    </font>
    <font>
      <sz val="10"/>
      <color rgb="FF00B050"/>
      <name val="Verdana"/>
      <family val="2"/>
    </font>
    <font>
      <b/>
      <sz val="14"/>
      <color rgb="FFFF0000"/>
      <name val="Calibri"/>
      <family val="2"/>
    </font>
    <font>
      <sz val="10"/>
      <color rgb="FFFF0000"/>
      <name val="Calibri"/>
      <family val="2"/>
    </font>
    <font>
      <sz val="16"/>
      <name val="Calibri"/>
      <family val="2"/>
    </font>
    <font>
      <b/>
      <sz val="18"/>
      <name val="Calibri"/>
      <family val="2"/>
    </font>
    <font>
      <b/>
      <sz val="10"/>
      <color rgb="FF0070C0"/>
      <name val="Verdana"/>
      <family val="2"/>
    </font>
    <font>
      <b/>
      <sz val="11"/>
      <color rgb="FF002060"/>
      <name val="Calibri"/>
      <family val="2"/>
    </font>
    <font>
      <b/>
      <sz val="16"/>
      <color rgb="FF7030A0"/>
      <name val="Calibri"/>
      <family val="2"/>
    </font>
    <font>
      <sz val="16"/>
      <color rgb="FF7030A0"/>
      <name val="Calibri"/>
      <family val="2"/>
    </font>
    <font>
      <sz val="16"/>
      <color theme="1"/>
      <name val="Calibri"/>
      <family val="2"/>
    </font>
    <font>
      <b/>
      <sz val="16"/>
      <color theme="1"/>
      <name val="Calibri"/>
      <family val="2"/>
    </font>
    <font>
      <b/>
      <sz val="16"/>
      <color rgb="FFFF0000"/>
      <name val="Calibri"/>
      <family val="2"/>
    </font>
    <font>
      <sz val="10"/>
      <color rgb="FF00B0F0"/>
      <name val="Verdana"/>
      <family val="2"/>
    </font>
    <font>
      <b/>
      <sz val="14"/>
      <color rgb="FF0070C0"/>
      <name val="Calibri"/>
      <family val="2"/>
    </font>
    <font>
      <b/>
      <sz val="12"/>
      <color rgb="FF0070C0"/>
      <name val="Calibri"/>
      <family val="2"/>
    </font>
    <font>
      <sz val="14"/>
      <name val="Calibri"/>
      <family val="2"/>
    </font>
    <font>
      <b/>
      <sz val="14"/>
      <color indexed="10"/>
      <name val="Calibri"/>
      <family val="2"/>
    </font>
    <font>
      <b/>
      <sz val="14"/>
      <color theme="1"/>
      <name val="Calibri"/>
      <family val="2"/>
    </font>
    <font>
      <b/>
      <i/>
      <sz val="14"/>
      <color rgb="FFDD0806"/>
      <name val="Calibri"/>
      <family val="2"/>
    </font>
    <font>
      <b/>
      <i/>
      <sz val="14"/>
      <color indexed="10"/>
      <name val="Calibri"/>
      <family val="2"/>
    </font>
    <font>
      <i/>
      <u/>
      <sz val="14"/>
      <name val="Calibri"/>
      <family val="2"/>
    </font>
    <font>
      <b/>
      <sz val="9"/>
      <name val="Verdana"/>
      <family val="2"/>
    </font>
    <font>
      <b/>
      <sz val="8"/>
      <name val="Verdana"/>
      <family val="2"/>
    </font>
    <font>
      <b/>
      <sz val="14"/>
      <name val="Times New Roman"/>
      <family val="2"/>
    </font>
    <font>
      <sz val="10"/>
      <color rgb="FFFF0000"/>
      <name val="Verdana"/>
      <family val="2"/>
    </font>
    <font>
      <sz val="12"/>
      <color rgb="FFFF0000"/>
      <name val="Verdana"/>
      <family val="2"/>
    </font>
    <font>
      <b/>
      <sz val="12"/>
      <color rgb="FFFF0000"/>
      <name val="Verdana"/>
      <family val="2"/>
    </font>
    <font>
      <sz val="10"/>
      <color theme="0"/>
      <name val="Verdana"/>
      <family val="2"/>
    </font>
    <font>
      <sz val="18"/>
      <name val="Calibri"/>
      <family val="2"/>
    </font>
    <font>
      <b/>
      <sz val="18"/>
      <color rgb="FFFF0000"/>
      <name val="Calibri"/>
      <family val="2"/>
    </font>
    <font>
      <sz val="14"/>
      <name val="Calibri"/>
      <family val="2"/>
      <scheme val="minor"/>
    </font>
    <font>
      <b/>
      <sz val="14"/>
      <name val="Calibri"/>
      <family val="2"/>
      <scheme val="minor"/>
    </font>
    <font>
      <b/>
      <sz val="14"/>
      <color rgb="FFFF0000"/>
      <name val="Calibri"/>
      <family val="2"/>
      <scheme val="minor"/>
    </font>
    <font>
      <b/>
      <sz val="10"/>
      <color theme="6" tint="-0.249977111117893"/>
      <name val="Verdana"/>
      <family val="2"/>
    </font>
  </fonts>
  <fills count="20">
    <fill>
      <patternFill patternType="none"/>
    </fill>
    <fill>
      <patternFill patternType="gray125"/>
    </fill>
    <fill>
      <patternFill patternType="solid">
        <fgColor indexed="47"/>
        <bgColor indexed="64"/>
      </patternFill>
    </fill>
    <fill>
      <patternFill patternType="solid">
        <fgColor theme="6" tint="0.59999389629810485"/>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rgb="FFDAEEF3"/>
        <bgColor indexed="64"/>
      </patternFill>
    </fill>
    <fill>
      <patternFill patternType="solid">
        <fgColor rgb="FFFFFFFF"/>
        <bgColor indexed="64"/>
      </patternFill>
    </fill>
    <fill>
      <patternFill patternType="solid">
        <fgColor rgb="FFFF0000"/>
        <bgColor indexed="64"/>
      </patternFill>
    </fill>
  </fills>
  <borders count="80">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ck">
        <color indexed="64"/>
      </left>
      <right/>
      <top style="medium">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165" fontId="2" fillId="0" borderId="0" applyFont="0" applyFill="0" applyBorder="0" applyAlignment="0" applyProtection="0"/>
    <xf numFmtId="9" fontId="2" fillId="0" borderId="0" applyFont="0" applyFill="0" applyBorder="0" applyAlignment="0" applyProtection="0"/>
  </cellStyleXfs>
  <cellXfs count="1593">
    <xf numFmtId="0" fontId="0" fillId="0" borderId="0" xfId="0"/>
    <xf numFmtId="0" fontId="18" fillId="0" borderId="0" xfId="0" applyFont="1"/>
    <xf numFmtId="0" fontId="19" fillId="0" borderId="0" xfId="0" applyFont="1"/>
    <xf numFmtId="0" fontId="20" fillId="0" borderId="0" xfId="0" applyFont="1"/>
    <xf numFmtId="0" fontId="22" fillId="0" borderId="0" xfId="0" applyFont="1" applyAlignment="1">
      <alignment horizontal="center"/>
    </xf>
    <xf numFmtId="0" fontId="19" fillId="0" borderId="0" xfId="0" applyFont="1" applyAlignment="1"/>
    <xf numFmtId="0" fontId="18" fillId="0" borderId="0" xfId="0" applyFont="1" applyAlignment="1">
      <alignment vertical="center"/>
    </xf>
    <xf numFmtId="0" fontId="18" fillId="0" borderId="0" xfId="0" applyFont="1" applyBorder="1" applyAlignment="1">
      <alignment horizontal="center" vertical="center"/>
    </xf>
    <xf numFmtId="0" fontId="18" fillId="0" borderId="0" xfId="0" applyFont="1" applyAlignment="1">
      <alignment vertical="center" wrapText="1"/>
    </xf>
    <xf numFmtId="0" fontId="20" fillId="0" borderId="0" xfId="0" applyFont="1" applyAlignment="1">
      <alignment vertical="center"/>
    </xf>
    <xf numFmtId="0" fontId="22" fillId="0" borderId="0" xfId="0" applyFont="1" applyAlignment="1">
      <alignment vertical="center"/>
    </xf>
    <xf numFmtId="0" fontId="22" fillId="0" borderId="0" xfId="0" applyFont="1" applyAlignment="1">
      <alignment horizontal="center" vertical="center"/>
    </xf>
    <xf numFmtId="0" fontId="23" fillId="0" borderId="8" xfId="0" applyFont="1" applyBorder="1" applyAlignment="1">
      <alignment vertical="center"/>
    </xf>
    <xf numFmtId="0" fontId="20" fillId="0" borderId="0" xfId="0" applyFont="1" applyFill="1" applyAlignment="1">
      <alignment horizontal="left"/>
    </xf>
    <xf numFmtId="0" fontId="22" fillId="0" borderId="0" xfId="0" applyFont="1" applyFill="1" applyAlignment="1">
      <alignment horizontal="center"/>
    </xf>
    <xf numFmtId="0" fontId="20" fillId="0" borderId="0" xfId="0" applyFont="1" applyAlignment="1">
      <alignment horizontal="left"/>
    </xf>
    <xf numFmtId="0" fontId="20" fillId="0" borderId="0" xfId="0" applyFont="1" applyAlignment="1">
      <alignment horizontal="center"/>
    </xf>
    <xf numFmtId="0" fontId="20" fillId="0" borderId="0" xfId="0" applyFont="1" applyBorder="1" applyAlignment="1">
      <alignment horizontal="center"/>
    </xf>
    <xf numFmtId="0" fontId="22" fillId="0" borderId="0" xfId="0" applyFont="1" applyBorder="1" applyAlignment="1">
      <alignment horizontal="center"/>
    </xf>
    <xf numFmtId="0" fontId="25" fillId="0" borderId="0" xfId="0" applyFont="1" applyAlignment="1">
      <alignment horizontal="right" vertical="center"/>
    </xf>
    <xf numFmtId="0" fontId="22" fillId="0" borderId="0" xfId="0" applyFont="1" applyBorder="1" applyAlignment="1">
      <alignment horizontal="center" vertical="center"/>
    </xf>
    <xf numFmtId="0" fontId="18" fillId="0" borderId="0" xfId="0" applyFont="1" applyAlignment="1">
      <alignment horizontal="center" vertical="center"/>
    </xf>
    <xf numFmtId="0" fontId="22" fillId="2" borderId="32" xfId="0" applyFont="1" applyFill="1" applyBorder="1" applyAlignment="1">
      <alignment horizontal="center" vertical="center" wrapText="1"/>
    </xf>
    <xf numFmtId="0" fontId="20" fillId="0" borderId="0" xfId="0" applyFont="1" applyBorder="1" applyAlignment="1">
      <alignment horizontal="left" vertical="center"/>
    </xf>
    <xf numFmtId="0" fontId="8" fillId="0" borderId="0" xfId="0" applyFont="1" applyAlignment="1">
      <alignment vertical="center"/>
    </xf>
    <xf numFmtId="0" fontId="8" fillId="0" borderId="0" xfId="0" applyFont="1" applyBorder="1" applyAlignment="1">
      <alignment horizontal="left" vertical="center" wrapText="1"/>
    </xf>
    <xf numFmtId="0" fontId="8" fillId="0" borderId="0" xfId="0" applyFont="1" applyFill="1" applyBorder="1" applyAlignment="1">
      <alignment horizontal="left" vertical="center"/>
    </xf>
    <xf numFmtId="0" fontId="8" fillId="0" borderId="0" xfId="0" applyFont="1" applyBorder="1" applyAlignment="1">
      <alignment horizontal="left" vertical="center"/>
    </xf>
    <xf numFmtId="0" fontId="28" fillId="0" borderId="0" xfId="0" applyFont="1" applyAlignment="1">
      <alignment vertical="center"/>
    </xf>
    <xf numFmtId="0" fontId="29" fillId="0" borderId="0" xfId="0" applyFont="1" applyAlignment="1">
      <alignment vertical="center"/>
    </xf>
    <xf numFmtId="0" fontId="25" fillId="0" borderId="0" xfId="0" applyFont="1" applyBorder="1" applyAlignment="1">
      <alignment horizontal="right" vertical="center"/>
    </xf>
    <xf numFmtId="0" fontId="20" fillId="0" borderId="0" xfId="0" applyFont="1" applyFill="1" applyBorder="1" applyAlignment="1">
      <alignment horizontal="left" vertical="center" wrapText="1"/>
    </xf>
    <xf numFmtId="0" fontId="11" fillId="0" borderId="0" xfId="0" applyFont="1"/>
    <xf numFmtId="0" fontId="10" fillId="0" borderId="0" xfId="0" applyFont="1" applyAlignment="1">
      <alignment horizontal="center"/>
    </xf>
    <xf numFmtId="0" fontId="10" fillId="0" borderId="0" xfId="0" applyFont="1" applyAlignment="1">
      <alignment horizontal="center" vertical="center"/>
    </xf>
    <xf numFmtId="0" fontId="22" fillId="2" borderId="36" xfId="0" applyFont="1" applyFill="1" applyBorder="1" applyAlignment="1">
      <alignment horizontal="center" vertical="center" wrapText="1"/>
    </xf>
    <xf numFmtId="0" fontId="30" fillId="0" borderId="0" xfId="0" applyFont="1" applyBorder="1" applyAlignment="1">
      <alignment vertical="center"/>
    </xf>
    <xf numFmtId="0" fontId="17" fillId="2" borderId="5" xfId="0" applyFont="1" applyFill="1" applyBorder="1" applyAlignment="1">
      <alignment horizontal="center" vertical="center"/>
    </xf>
    <xf numFmtId="0" fontId="25" fillId="0" borderId="0" xfId="0" applyFont="1" applyAlignment="1">
      <alignment horizontal="left" vertical="center"/>
    </xf>
    <xf numFmtId="0" fontId="36" fillId="0" borderId="0" xfId="0" applyFont="1" applyAlignment="1">
      <alignment horizontal="center" vertical="center" wrapText="1"/>
    </xf>
    <xf numFmtId="0" fontId="0" fillId="0" borderId="0" xfId="0" applyBorder="1"/>
    <xf numFmtId="3" fontId="20" fillId="4" borderId="31" xfId="0" applyNumberFormat="1" applyFont="1" applyFill="1" applyBorder="1" applyAlignment="1">
      <alignment horizontal="center" vertical="center"/>
    </xf>
    <xf numFmtId="0" fontId="5" fillId="0" borderId="0" xfId="0" applyFont="1" applyBorder="1" applyAlignment="1">
      <alignment vertical="center"/>
    </xf>
    <xf numFmtId="171" fontId="22" fillId="0" borderId="0" xfId="0" applyNumberFormat="1" applyFont="1" applyBorder="1" applyAlignment="1">
      <alignment vertical="center"/>
    </xf>
    <xf numFmtId="3" fontId="22" fillId="0" borderId="0" xfId="0" applyNumberFormat="1" applyFont="1" applyBorder="1" applyAlignment="1">
      <alignment horizontal="left" vertical="center"/>
    </xf>
    <xf numFmtId="0" fontId="22" fillId="4" borderId="0" xfId="0" applyFont="1" applyFill="1" applyAlignment="1"/>
    <xf numFmtId="0" fontId="20" fillId="4" borderId="0" xfId="0" applyFont="1" applyFill="1"/>
    <xf numFmtId="0" fontId="20" fillId="6" borderId="0" xfId="0" applyFont="1" applyFill="1"/>
    <xf numFmtId="4" fontId="22" fillId="4" borderId="31" xfId="0" applyNumberFormat="1" applyFont="1" applyFill="1" applyBorder="1" applyAlignment="1">
      <alignment horizontal="center"/>
    </xf>
    <xf numFmtId="1" fontId="22" fillId="4" borderId="31" xfId="0" applyNumberFormat="1" applyFont="1" applyFill="1" applyBorder="1" applyAlignment="1">
      <alignment horizontal="center"/>
    </xf>
    <xf numFmtId="4" fontId="20" fillId="4" borderId="31" xfId="0" applyNumberFormat="1" applyFont="1" applyFill="1" applyBorder="1" applyAlignment="1">
      <alignment horizontal="center"/>
    </xf>
    <xf numFmtId="0" fontId="38" fillId="0" borderId="0" xfId="0" applyFont="1" applyAlignment="1">
      <alignment horizontal="center"/>
    </xf>
    <xf numFmtId="0" fontId="34" fillId="0" borderId="0" xfId="0" applyFont="1"/>
    <xf numFmtId="3" fontId="0" fillId="0" borderId="0" xfId="0" applyNumberFormat="1" applyAlignment="1">
      <alignment horizontal="center"/>
    </xf>
    <xf numFmtId="0" fontId="36" fillId="0" borderId="0" xfId="0" applyFont="1"/>
    <xf numFmtId="1" fontId="0" fillId="0" borderId="0" xfId="0" applyNumberFormat="1" applyAlignment="1">
      <alignment horizontal="center"/>
    </xf>
    <xf numFmtId="0" fontId="2" fillId="0" borderId="0" xfId="0" applyFont="1"/>
    <xf numFmtId="1" fontId="33" fillId="0" borderId="0" xfId="0" applyNumberFormat="1" applyFont="1" applyBorder="1" applyAlignment="1">
      <alignment horizontal="center"/>
    </xf>
    <xf numFmtId="0" fontId="8" fillId="0" borderId="0" xfId="0" applyFont="1" applyAlignment="1">
      <alignment vertical="center" wrapText="1"/>
    </xf>
    <xf numFmtId="0" fontId="36" fillId="0" borderId="0" xfId="0" applyFont="1" applyBorder="1"/>
    <xf numFmtId="1" fontId="36" fillId="0" borderId="0" xfId="0" applyNumberFormat="1" applyFont="1" applyBorder="1" applyAlignment="1">
      <alignment horizontal="center"/>
    </xf>
    <xf numFmtId="3" fontId="36" fillId="0" borderId="0" xfId="0" applyNumberFormat="1" applyFont="1" applyBorder="1" applyAlignment="1">
      <alignment horizontal="center"/>
    </xf>
    <xf numFmtId="0" fontId="3" fillId="0" borderId="0" xfId="0" applyFont="1" applyBorder="1"/>
    <xf numFmtId="1" fontId="2" fillId="0" borderId="0" xfId="0" applyNumberFormat="1" applyFont="1" applyBorder="1" applyAlignment="1">
      <alignment horizontal="center"/>
    </xf>
    <xf numFmtId="0" fontId="2" fillId="0" borderId="0" xfId="0" applyFont="1" applyBorder="1"/>
    <xf numFmtId="0" fontId="30" fillId="0" borderId="0" xfId="0" applyFont="1" applyBorder="1" applyAlignment="1">
      <alignment horizontal="left" vertical="center" wrapText="1"/>
    </xf>
    <xf numFmtId="0" fontId="22" fillId="0" borderId="0" xfId="0" applyFont="1" applyFill="1" applyBorder="1" applyAlignment="1">
      <alignment horizontal="center"/>
    </xf>
    <xf numFmtId="0" fontId="22" fillId="4" borderId="31" xfId="0" applyFont="1" applyFill="1" applyBorder="1" applyAlignment="1">
      <alignment horizontal="center"/>
    </xf>
    <xf numFmtId="3" fontId="20" fillId="4" borderId="31" xfId="0" applyNumberFormat="1" applyFont="1" applyFill="1" applyBorder="1" applyAlignment="1">
      <alignment horizontal="center"/>
    </xf>
    <xf numFmtId="3" fontId="22" fillId="4" borderId="31" xfId="0" applyNumberFormat="1" applyFont="1" applyFill="1" applyBorder="1" applyAlignment="1">
      <alignment horizontal="center"/>
    </xf>
    <xf numFmtId="0" fontId="22" fillId="0" borderId="0" xfId="0" applyFont="1" applyFill="1" applyAlignment="1"/>
    <xf numFmtId="0" fontId="22" fillId="0" borderId="31" xfId="0" applyFont="1" applyBorder="1" applyAlignment="1">
      <alignment horizontal="center"/>
    </xf>
    <xf numFmtId="0" fontId="38" fillId="0" borderId="31" xfId="0" applyFont="1" applyBorder="1" applyAlignment="1">
      <alignment horizontal="center"/>
    </xf>
    <xf numFmtId="4" fontId="4" fillId="4" borderId="31" xfId="0" applyNumberFormat="1" applyFont="1" applyFill="1" applyBorder="1" applyAlignment="1">
      <alignment horizontal="left"/>
    </xf>
    <xf numFmtId="4" fontId="4" fillId="4" borderId="31" xfId="0" applyNumberFormat="1" applyFont="1" applyFill="1" applyBorder="1" applyAlignment="1">
      <alignment horizontal="center"/>
    </xf>
    <xf numFmtId="3" fontId="38" fillId="4" borderId="31" xfId="0" applyNumberFormat="1" applyFont="1" applyFill="1" applyBorder="1" applyAlignment="1">
      <alignment horizontal="center"/>
    </xf>
    <xf numFmtId="4" fontId="4" fillId="4" borderId="48" xfId="0" applyNumberFormat="1" applyFont="1" applyFill="1" applyBorder="1" applyAlignment="1">
      <alignment horizontal="left"/>
    </xf>
    <xf numFmtId="0" fontId="20" fillId="0" borderId="0" xfId="0" applyFont="1" applyBorder="1"/>
    <xf numFmtId="10" fontId="20" fillId="4" borderId="31" xfId="0" applyNumberFormat="1" applyFont="1" applyFill="1" applyBorder="1" applyAlignment="1">
      <alignment horizontal="center"/>
    </xf>
    <xf numFmtId="9" fontId="20" fillId="4" borderId="31" xfId="0" applyNumberFormat="1" applyFont="1" applyFill="1" applyBorder="1" applyAlignment="1">
      <alignment horizontal="center"/>
    </xf>
    <xf numFmtId="3" fontId="5" fillId="4" borderId="31" xfId="0" applyNumberFormat="1" applyFont="1" applyFill="1" applyBorder="1" applyAlignment="1">
      <alignment horizontal="center"/>
    </xf>
    <xf numFmtId="3" fontId="5" fillId="4" borderId="31" xfId="0" applyNumberFormat="1" applyFont="1" applyFill="1" applyBorder="1" applyAlignment="1">
      <alignment horizontal="center" vertical="center"/>
    </xf>
    <xf numFmtId="3" fontId="4" fillId="4" borderId="31" xfId="0" applyNumberFormat="1" applyFont="1" applyFill="1" applyBorder="1" applyAlignment="1">
      <alignment horizontal="center"/>
    </xf>
    <xf numFmtId="1" fontId="2" fillId="0" borderId="0" xfId="0" applyNumberFormat="1" applyFont="1" applyBorder="1" applyAlignment="1">
      <alignment horizontal="center" vertical="center" wrapText="1"/>
    </xf>
    <xf numFmtId="3" fontId="2" fillId="0" borderId="0" xfId="0" applyNumberFormat="1" applyFont="1" applyBorder="1" applyAlignment="1">
      <alignment horizontal="center" vertical="center" wrapText="1"/>
    </xf>
    <xf numFmtId="3" fontId="36" fillId="0" borderId="0" xfId="0" applyNumberFormat="1" applyFont="1" applyBorder="1" applyAlignment="1">
      <alignment horizontal="left"/>
    </xf>
    <xf numFmtId="0" fontId="2" fillId="0" borderId="0" xfId="0" applyFont="1" applyBorder="1" applyAlignment="1">
      <alignment horizontal="center"/>
    </xf>
    <xf numFmtId="0" fontId="38" fillId="0" borderId="0" xfId="0" applyFont="1" applyFill="1" applyAlignment="1"/>
    <xf numFmtId="4" fontId="44" fillId="4" borderId="31" xfId="0" applyNumberFormat="1" applyFont="1" applyFill="1" applyBorder="1" applyAlignment="1">
      <alignment horizontal="center"/>
    </xf>
    <xf numFmtId="1" fontId="38" fillId="4" borderId="31" xfId="0" applyNumberFormat="1" applyFont="1" applyFill="1" applyBorder="1" applyAlignment="1">
      <alignment horizontal="center"/>
    </xf>
    <xf numFmtId="10" fontId="44" fillId="4" borderId="31" xfId="0" applyNumberFormat="1" applyFont="1" applyFill="1" applyBorder="1" applyAlignment="1">
      <alignment horizontal="center"/>
    </xf>
    <xf numFmtId="0" fontId="44" fillId="6" borderId="0" xfId="0" applyFont="1" applyFill="1"/>
    <xf numFmtId="0" fontId="4" fillId="0" borderId="0" xfId="0" applyFont="1" applyAlignment="1">
      <alignment horizontal="center"/>
    </xf>
    <xf numFmtId="4" fontId="4" fillId="4" borderId="31" xfId="0" applyNumberFormat="1" applyFont="1" applyFill="1" applyBorder="1" applyAlignment="1">
      <alignment horizontal="right"/>
    </xf>
    <xf numFmtId="0" fontId="4" fillId="4" borderId="0" xfId="0" applyFont="1" applyFill="1" applyAlignment="1">
      <alignment horizontal="center"/>
    </xf>
    <xf numFmtId="3" fontId="4" fillId="0" borderId="0" xfId="0" applyNumberFormat="1" applyFont="1" applyBorder="1" applyAlignment="1">
      <alignment horizontal="center"/>
    </xf>
    <xf numFmtId="3" fontId="0" fillId="0" borderId="31" xfId="0" applyNumberFormat="1" applyBorder="1" applyAlignment="1">
      <alignment horizontal="center"/>
    </xf>
    <xf numFmtId="0" fontId="0" fillId="0" borderId="0" xfId="0" applyAlignment="1">
      <alignment horizontal="center"/>
    </xf>
    <xf numFmtId="3" fontId="0" fillId="0" borderId="31" xfId="0" applyNumberFormat="1" applyBorder="1"/>
    <xf numFmtId="9" fontId="0" fillId="0" borderId="0" xfId="0" applyNumberFormat="1"/>
    <xf numFmtId="9" fontId="2" fillId="0" borderId="31" xfId="0" applyNumberFormat="1" applyFont="1" applyBorder="1" applyAlignment="1">
      <alignment horizontal="center" vertical="center" wrapText="1"/>
    </xf>
    <xf numFmtId="0" fontId="36" fillId="0" borderId="0" xfId="0" applyFont="1" applyAlignment="1">
      <alignment horizontal="center"/>
    </xf>
    <xf numFmtId="3" fontId="0" fillId="0" borderId="0" xfId="0" applyNumberFormat="1" applyBorder="1" applyAlignment="1">
      <alignment horizontal="center"/>
    </xf>
    <xf numFmtId="0" fontId="36" fillId="0" borderId="0" xfId="0" applyFont="1" applyBorder="1" applyAlignment="1">
      <alignment horizontal="center"/>
    </xf>
    <xf numFmtId="0" fontId="0" fillId="0" borderId="31" xfId="0" applyBorder="1" applyAlignment="1">
      <alignment horizontal="center" vertical="center" wrapText="1"/>
    </xf>
    <xf numFmtId="9" fontId="2" fillId="0" borderId="31" xfId="0" applyNumberFormat="1" applyFont="1" applyBorder="1" applyAlignment="1">
      <alignment horizontal="center" vertical="center"/>
    </xf>
    <xf numFmtId="3" fontId="0" fillId="0" borderId="31" xfId="0" applyNumberFormat="1" applyBorder="1" applyAlignment="1">
      <alignment horizontal="center" vertical="center"/>
    </xf>
    <xf numFmtId="0" fontId="20" fillId="7" borderId="0" xfId="0" applyFont="1" applyFill="1"/>
    <xf numFmtId="1" fontId="2" fillId="0" borderId="0" xfId="0" applyNumberFormat="1" applyFont="1" applyBorder="1" applyAlignment="1">
      <alignment horizontal="center"/>
    </xf>
    <xf numFmtId="3" fontId="2" fillId="0" borderId="0" xfId="0" applyNumberFormat="1" applyFont="1" applyBorder="1" applyAlignment="1">
      <alignment horizontal="center"/>
    </xf>
    <xf numFmtId="0" fontId="2" fillId="0" borderId="0" xfId="0" applyFont="1" applyBorder="1" applyAlignment="1">
      <alignment horizontal="center"/>
    </xf>
    <xf numFmtId="0" fontId="5" fillId="0" borderId="1" xfId="0" applyFont="1" applyBorder="1" applyAlignment="1">
      <alignment vertical="center"/>
    </xf>
    <xf numFmtId="0" fontId="38" fillId="4" borderId="43" xfId="0" applyFont="1" applyFill="1" applyBorder="1" applyAlignment="1">
      <alignment horizontal="center"/>
    </xf>
    <xf numFmtId="0" fontId="0" fillId="0" borderId="0" xfId="0" applyBorder="1" applyAlignment="1">
      <alignment horizontal="center" vertical="center" wrapText="1"/>
    </xf>
    <xf numFmtId="3" fontId="0" fillId="0" borderId="0" xfId="0" applyNumberFormat="1" applyBorder="1" applyAlignment="1">
      <alignment horizontal="center" vertical="center"/>
    </xf>
    <xf numFmtId="0" fontId="0" fillId="0" borderId="0" xfId="0" applyBorder="1" applyAlignment="1">
      <alignment vertical="center"/>
    </xf>
    <xf numFmtId="0" fontId="0" fillId="0" borderId="0" xfId="0" applyAlignment="1">
      <alignment vertical="center"/>
    </xf>
    <xf numFmtId="0" fontId="2" fillId="0" borderId="0" xfId="0" applyFont="1" applyAlignment="1">
      <alignment vertical="center"/>
    </xf>
    <xf numFmtId="3" fontId="2" fillId="0" borderId="31" xfId="0" applyNumberFormat="1" applyFont="1" applyBorder="1" applyAlignment="1">
      <alignment horizontal="center" vertical="center"/>
    </xf>
    <xf numFmtId="9" fontId="36" fillId="0" borderId="0" xfId="0" applyNumberFormat="1" applyFont="1" applyAlignment="1">
      <alignment horizontal="center"/>
    </xf>
    <xf numFmtId="3" fontId="2" fillId="0" borderId="0" xfId="0" applyNumberFormat="1" applyFont="1" applyAlignment="1">
      <alignment horizontal="center"/>
    </xf>
    <xf numFmtId="0" fontId="0" fillId="0" borderId="0" xfId="0" applyBorder="1" applyAlignment="1">
      <alignment horizontal="center"/>
    </xf>
    <xf numFmtId="0" fontId="2" fillId="0" borderId="0" xfId="0" applyFont="1" applyBorder="1" applyAlignment="1">
      <alignment horizontal="center" wrapText="1"/>
    </xf>
    <xf numFmtId="0" fontId="22" fillId="0" borderId="0" xfId="0" applyFont="1" applyAlignment="1">
      <alignment horizontal="center" vertical="center"/>
    </xf>
    <xf numFmtId="3" fontId="46" fillId="4" borderId="31" xfId="0" applyNumberFormat="1" applyFont="1" applyFill="1" applyBorder="1" applyAlignment="1">
      <alignment horizontal="center"/>
    </xf>
    <xf numFmtId="3" fontId="45" fillId="4" borderId="31" xfId="0" applyNumberFormat="1" applyFont="1" applyFill="1" applyBorder="1" applyAlignment="1">
      <alignment horizontal="center"/>
    </xf>
    <xf numFmtId="3" fontId="46" fillId="4" borderId="31" xfId="0" applyNumberFormat="1" applyFont="1" applyFill="1" applyBorder="1" applyAlignment="1">
      <alignment horizontal="center" vertical="center"/>
    </xf>
    <xf numFmtId="0" fontId="10" fillId="4" borderId="0" xfId="0" applyFont="1" applyFill="1" applyAlignment="1">
      <alignment horizontal="center"/>
    </xf>
    <xf numFmtId="4" fontId="22" fillId="4" borderId="0" xfId="0" applyNumberFormat="1" applyFont="1" applyFill="1" applyBorder="1" applyAlignment="1">
      <alignment horizontal="center"/>
    </xf>
    <xf numFmtId="0" fontId="22" fillId="4" borderId="0" xfId="0" applyFont="1" applyFill="1" applyAlignment="1">
      <alignment horizontal="center"/>
    </xf>
    <xf numFmtId="0" fontId="22" fillId="4" borderId="0" xfId="0" applyFont="1" applyFill="1"/>
    <xf numFmtId="0" fontId="22" fillId="5" borderId="0" xfId="0" applyFont="1" applyFill="1" applyAlignment="1">
      <alignment horizontal="center"/>
    </xf>
    <xf numFmtId="0" fontId="10" fillId="4" borderId="0" xfId="0" applyFont="1" applyFill="1" applyAlignment="1">
      <alignment horizontal="center" vertical="center"/>
    </xf>
    <xf numFmtId="4" fontId="4" fillId="4" borderId="1" xfId="0" applyNumberFormat="1" applyFont="1" applyFill="1" applyBorder="1" applyAlignment="1">
      <alignment horizontal="left"/>
    </xf>
    <xf numFmtId="0" fontId="2" fillId="0" borderId="0" xfId="0" applyFont="1" applyBorder="1" applyAlignment="1">
      <alignment horizontal="center" vertical="center" wrapText="1"/>
    </xf>
    <xf numFmtId="3" fontId="2" fillId="0" borderId="0" xfId="0" applyNumberFormat="1" applyFont="1" applyBorder="1" applyAlignment="1">
      <alignment horizontal="center" vertical="center"/>
    </xf>
    <xf numFmtId="0" fontId="47" fillId="0" borderId="0" xfId="0" applyFont="1" applyAlignment="1">
      <alignment horizontal="center"/>
    </xf>
    <xf numFmtId="3" fontId="22" fillId="4" borderId="33" xfId="0" applyNumberFormat="1" applyFont="1" applyFill="1" applyBorder="1" applyAlignment="1">
      <alignment horizontal="center"/>
    </xf>
    <xf numFmtId="0" fontId="4" fillId="4" borderId="0" xfId="0" applyFont="1" applyFill="1" applyBorder="1" applyAlignment="1">
      <alignment horizontal="center"/>
    </xf>
    <xf numFmtId="4" fontId="4" fillId="4" borderId="0" xfId="0" applyNumberFormat="1" applyFont="1" applyFill="1" applyBorder="1" applyAlignment="1">
      <alignment horizontal="center"/>
    </xf>
    <xf numFmtId="0" fontId="4" fillId="9" borderId="0" xfId="0" applyFont="1" applyFill="1" applyAlignment="1">
      <alignment horizontal="center"/>
    </xf>
    <xf numFmtId="3" fontId="22" fillId="0" borderId="31" xfId="0" applyNumberFormat="1" applyFont="1" applyBorder="1" applyAlignment="1">
      <alignment horizontal="center"/>
    </xf>
    <xf numFmtId="3" fontId="22" fillId="0" borderId="31" xfId="0" applyNumberFormat="1" applyFont="1" applyBorder="1" applyAlignment="1">
      <alignment horizontal="center" vertical="center"/>
    </xf>
    <xf numFmtId="3" fontId="22" fillId="4" borderId="52" xfId="0" applyNumberFormat="1" applyFont="1" applyFill="1" applyBorder="1" applyAlignment="1">
      <alignment horizontal="center"/>
    </xf>
    <xf numFmtId="3" fontId="22" fillId="0" borderId="52" xfId="0" applyNumberFormat="1" applyFont="1" applyBorder="1" applyAlignment="1">
      <alignment horizontal="center"/>
    </xf>
    <xf numFmtId="3" fontId="22" fillId="4" borderId="37" xfId="0" applyNumberFormat="1" applyFont="1" applyFill="1" applyBorder="1" applyAlignment="1">
      <alignment horizontal="center"/>
    </xf>
    <xf numFmtId="3" fontId="22" fillId="0" borderId="37" xfId="0" applyNumberFormat="1" applyFont="1" applyBorder="1" applyAlignment="1">
      <alignment horizontal="center"/>
    </xf>
    <xf numFmtId="3" fontId="22" fillId="0" borderId="18" xfId="0" applyNumberFormat="1" applyFont="1" applyBorder="1" applyAlignment="1">
      <alignment horizontal="center"/>
    </xf>
    <xf numFmtId="3" fontId="22" fillId="4" borderId="23" xfId="0" applyNumberFormat="1" applyFont="1" applyFill="1" applyBorder="1" applyAlignment="1">
      <alignment horizontal="center"/>
    </xf>
    <xf numFmtId="3" fontId="22" fillId="0" borderId="23" xfId="0" applyNumberFormat="1" applyFont="1" applyBorder="1" applyAlignment="1">
      <alignment horizontal="center"/>
    </xf>
    <xf numFmtId="3" fontId="22" fillId="0" borderId="15" xfId="0" applyNumberFormat="1" applyFont="1" applyBorder="1" applyAlignment="1">
      <alignment horizontal="center"/>
    </xf>
    <xf numFmtId="0" fontId="22" fillId="0" borderId="31" xfId="0" applyFont="1" applyFill="1" applyBorder="1" applyAlignment="1">
      <alignment horizontal="center"/>
    </xf>
    <xf numFmtId="167" fontId="20" fillId="4" borderId="31" xfId="2" applyNumberFormat="1" applyFont="1" applyFill="1" applyBorder="1" applyAlignment="1">
      <alignment horizontal="center"/>
    </xf>
    <xf numFmtId="1" fontId="22" fillId="0" borderId="31" xfId="0" applyNumberFormat="1" applyFont="1" applyFill="1" applyBorder="1" applyAlignment="1">
      <alignment horizontal="center"/>
    </xf>
    <xf numFmtId="0" fontId="10" fillId="0" borderId="0" xfId="0" applyFont="1" applyBorder="1" applyAlignment="1">
      <alignment horizontal="center"/>
    </xf>
    <xf numFmtId="0" fontId="22" fillId="0" borderId="0" xfId="0" applyFont="1" applyBorder="1" applyAlignment="1">
      <alignment horizontal="left"/>
    </xf>
    <xf numFmtId="4" fontId="38" fillId="4" borderId="0" xfId="0" applyNumberFormat="1" applyFont="1" applyFill="1" applyBorder="1" applyAlignment="1">
      <alignment horizontal="center"/>
    </xf>
    <xf numFmtId="0" fontId="4" fillId="4" borderId="0" xfId="0" applyFont="1" applyFill="1" applyAlignment="1">
      <alignment horizontal="center" vertical="center"/>
    </xf>
    <xf numFmtId="0" fontId="4" fillId="9" borderId="0" xfId="0" applyFont="1" applyFill="1" applyAlignment="1">
      <alignment horizontal="center" vertical="center"/>
    </xf>
    <xf numFmtId="3" fontId="4" fillId="0" borderId="0" xfId="0" applyNumberFormat="1" applyFont="1" applyAlignment="1">
      <alignment horizontal="center"/>
    </xf>
    <xf numFmtId="1" fontId="22" fillId="0" borderId="33" xfId="0" applyNumberFormat="1" applyFont="1" applyFill="1" applyBorder="1" applyAlignment="1">
      <alignment horizontal="center"/>
    </xf>
    <xf numFmtId="3" fontId="38" fillId="4" borderId="37" xfId="0" applyNumberFormat="1" applyFont="1" applyFill="1" applyBorder="1" applyAlignment="1">
      <alignment horizontal="center"/>
    </xf>
    <xf numFmtId="0" fontId="22" fillId="0" borderId="43" xfId="0" applyFont="1" applyBorder="1" applyAlignment="1">
      <alignment horizontal="center"/>
    </xf>
    <xf numFmtId="0" fontId="22" fillId="4" borderId="43" xfId="0" applyFont="1" applyFill="1" applyBorder="1" applyAlignment="1">
      <alignment horizontal="center"/>
    </xf>
    <xf numFmtId="0" fontId="20" fillId="0" borderId="43" xfId="0" applyFont="1" applyBorder="1" applyAlignment="1">
      <alignment horizontal="center"/>
    </xf>
    <xf numFmtId="0" fontId="20" fillId="4" borderId="43" xfId="0" applyFont="1" applyFill="1" applyBorder="1" applyAlignment="1">
      <alignment horizontal="center"/>
    </xf>
    <xf numFmtId="0" fontId="20" fillId="0" borderId="39" xfId="0" applyFont="1" applyBorder="1" applyAlignment="1">
      <alignment horizontal="center"/>
    </xf>
    <xf numFmtId="0" fontId="5" fillId="0" borderId="1" xfId="0" applyFont="1" applyBorder="1" applyAlignment="1">
      <alignment horizontal="left"/>
    </xf>
    <xf numFmtId="9" fontId="20" fillId="4" borderId="33" xfId="0" applyNumberFormat="1" applyFont="1" applyFill="1" applyBorder="1" applyAlignment="1">
      <alignment horizontal="center"/>
    </xf>
    <xf numFmtId="0" fontId="5" fillId="4" borderId="1" xfId="0" applyFont="1" applyFill="1" applyBorder="1" applyAlignment="1">
      <alignment horizontal="left"/>
    </xf>
    <xf numFmtId="3" fontId="5" fillId="4" borderId="33" xfId="0" applyNumberFormat="1" applyFont="1" applyFill="1" applyBorder="1" applyAlignment="1">
      <alignment horizontal="center"/>
    </xf>
    <xf numFmtId="0" fontId="34" fillId="0" borderId="0" xfId="0" applyFont="1" applyAlignment="1">
      <alignment vertical="center"/>
    </xf>
    <xf numFmtId="3" fontId="4" fillId="4" borderId="0" xfId="0" applyNumberFormat="1" applyFont="1" applyFill="1" applyAlignment="1">
      <alignment horizontal="center" vertical="center"/>
    </xf>
    <xf numFmtId="0" fontId="4" fillId="4" borderId="0" xfId="0" applyFont="1" applyFill="1" applyBorder="1" applyAlignment="1">
      <alignment horizontal="center" vertical="center"/>
    </xf>
    <xf numFmtId="0" fontId="4" fillId="6" borderId="0" xfId="0" applyFont="1" applyFill="1" applyAlignment="1">
      <alignment horizontal="center" vertical="center"/>
    </xf>
    <xf numFmtId="0" fontId="44" fillId="4" borderId="0" xfId="0" applyFont="1" applyFill="1" applyAlignment="1">
      <alignment horizontal="center"/>
    </xf>
    <xf numFmtId="0" fontId="5" fillId="0" borderId="31" xfId="0" applyFont="1" applyBorder="1" applyAlignment="1">
      <alignment horizontal="center"/>
    </xf>
    <xf numFmtId="3" fontId="4" fillId="10" borderId="0" xfId="0" applyNumberFormat="1" applyFont="1" applyFill="1" applyAlignment="1">
      <alignment horizontal="center" vertical="center"/>
    </xf>
    <xf numFmtId="0" fontId="5" fillId="0" borderId="0" xfId="0" applyFont="1"/>
    <xf numFmtId="3" fontId="5" fillId="0" borderId="31" xfId="0" applyNumberFormat="1" applyFont="1" applyBorder="1" applyAlignment="1">
      <alignment horizontal="center"/>
    </xf>
    <xf numFmtId="3" fontId="4" fillId="0" borderId="37" xfId="0" applyNumberFormat="1" applyFont="1" applyBorder="1" applyAlignment="1">
      <alignment horizontal="center" vertical="center"/>
    </xf>
    <xf numFmtId="0" fontId="5" fillId="0" borderId="0" xfId="0" applyFont="1" applyAlignment="1">
      <alignment horizontal="center"/>
    </xf>
    <xf numFmtId="0" fontId="22" fillId="0" borderId="0" xfId="0" applyFont="1" applyAlignment="1">
      <alignment horizontal="center" vertical="center"/>
    </xf>
    <xf numFmtId="0" fontId="22" fillId="0" borderId="0" xfId="0" applyFont="1" applyAlignment="1">
      <alignment horizontal="center" vertical="center"/>
    </xf>
    <xf numFmtId="3" fontId="2" fillId="0" borderId="0" xfId="0" applyNumberFormat="1" applyFont="1" applyBorder="1" applyAlignment="1">
      <alignment horizontal="center"/>
    </xf>
    <xf numFmtId="0" fontId="4" fillId="0" borderId="13" xfId="0" applyFont="1" applyBorder="1" applyAlignment="1">
      <alignment horizontal="center" wrapText="1"/>
    </xf>
    <xf numFmtId="1" fontId="22" fillId="4" borderId="33" xfId="0" applyNumberFormat="1" applyFont="1" applyFill="1" applyBorder="1" applyAlignment="1">
      <alignment horizontal="center"/>
    </xf>
    <xf numFmtId="167" fontId="4" fillId="4" borderId="31" xfId="2" applyNumberFormat="1" applyFont="1" applyFill="1" applyBorder="1" applyAlignment="1">
      <alignment horizontal="center"/>
    </xf>
    <xf numFmtId="2" fontId="4" fillId="4" borderId="31" xfId="2" applyNumberFormat="1" applyFont="1" applyFill="1" applyBorder="1" applyAlignment="1">
      <alignment horizontal="center"/>
    </xf>
    <xf numFmtId="167" fontId="4" fillId="0" borderId="31" xfId="2" applyNumberFormat="1" applyFont="1" applyBorder="1" applyAlignment="1">
      <alignment horizontal="center"/>
    </xf>
    <xf numFmtId="167" fontId="4" fillId="0" borderId="31" xfId="0" applyNumberFormat="1" applyFont="1" applyBorder="1" applyAlignment="1">
      <alignment horizontal="center" vertical="center"/>
    </xf>
    <xf numFmtId="4" fontId="20" fillId="4" borderId="31" xfId="0" applyNumberFormat="1" applyFont="1" applyFill="1" applyBorder="1" applyAlignment="1">
      <alignment horizontal="center" vertical="center"/>
    </xf>
    <xf numFmtId="4" fontId="44" fillId="4" borderId="31" xfId="0" applyNumberFormat="1" applyFont="1" applyFill="1" applyBorder="1" applyAlignment="1">
      <alignment horizontal="center" vertical="center"/>
    </xf>
    <xf numFmtId="3" fontId="20" fillId="0" borderId="31" xfId="0" applyNumberFormat="1" applyFont="1" applyBorder="1" applyAlignment="1">
      <alignment horizontal="center" vertical="center"/>
    </xf>
    <xf numFmtId="3" fontId="20" fillId="0" borderId="33" xfId="0" applyNumberFormat="1" applyFont="1" applyBorder="1" applyAlignment="1">
      <alignment horizontal="center" vertical="center"/>
    </xf>
    <xf numFmtId="167" fontId="5" fillId="0" borderId="31" xfId="0" applyNumberFormat="1" applyFont="1" applyBorder="1" applyAlignment="1">
      <alignment horizontal="center" vertical="center"/>
    </xf>
    <xf numFmtId="10" fontId="20" fillId="4" borderId="31" xfId="0" applyNumberFormat="1" applyFont="1" applyFill="1" applyBorder="1" applyAlignment="1">
      <alignment horizontal="center" vertical="center"/>
    </xf>
    <xf numFmtId="10" fontId="44" fillId="4" borderId="31" xfId="0" applyNumberFormat="1" applyFont="1" applyFill="1" applyBorder="1" applyAlignment="1">
      <alignment horizontal="center" vertical="center"/>
    </xf>
    <xf numFmtId="9" fontId="20" fillId="4" borderId="31" xfId="0" applyNumberFormat="1" applyFont="1" applyFill="1" applyBorder="1" applyAlignment="1">
      <alignment horizontal="center" vertical="center"/>
    </xf>
    <xf numFmtId="9" fontId="20" fillId="4" borderId="33" xfId="0" applyNumberFormat="1" applyFont="1" applyFill="1" applyBorder="1" applyAlignment="1">
      <alignment horizontal="center" vertical="center"/>
    </xf>
    <xf numFmtId="0" fontId="22" fillId="4" borderId="0" xfId="0" applyFont="1" applyFill="1" applyAlignment="1">
      <alignment horizontal="center" vertical="center"/>
    </xf>
    <xf numFmtId="0" fontId="22" fillId="0" borderId="31" xfId="0" applyFont="1" applyBorder="1" applyAlignment="1">
      <alignment horizontal="center" vertical="center"/>
    </xf>
    <xf numFmtId="9" fontId="5" fillId="4" borderId="31" xfId="0" applyNumberFormat="1" applyFont="1" applyFill="1" applyBorder="1" applyAlignment="1">
      <alignment horizontal="center" vertical="center"/>
    </xf>
    <xf numFmtId="9" fontId="5" fillId="4" borderId="33" xfId="0" applyNumberFormat="1" applyFont="1" applyFill="1" applyBorder="1" applyAlignment="1">
      <alignment horizontal="center" vertical="center"/>
    </xf>
    <xf numFmtId="0" fontId="38" fillId="4" borderId="0" xfId="0" applyFont="1" applyFill="1" applyAlignment="1">
      <alignment horizontal="center"/>
    </xf>
    <xf numFmtId="0" fontId="44" fillId="4" borderId="0" xfId="0" applyFont="1" applyFill="1" applyAlignment="1">
      <alignment horizontal="center" vertical="center"/>
    </xf>
    <xf numFmtId="0" fontId="38" fillId="4" borderId="0" xfId="0" applyFont="1" applyFill="1" applyAlignment="1">
      <alignment horizontal="center" vertical="center"/>
    </xf>
    <xf numFmtId="3" fontId="38" fillId="4" borderId="0" xfId="0" applyNumberFormat="1" applyFont="1" applyFill="1" applyAlignment="1">
      <alignment horizontal="center"/>
    </xf>
    <xf numFmtId="4" fontId="4" fillId="4" borderId="52" xfId="0" applyNumberFormat="1" applyFont="1" applyFill="1" applyBorder="1" applyAlignment="1">
      <alignment horizontal="center"/>
    </xf>
    <xf numFmtId="3" fontId="4" fillId="4" borderId="52" xfId="0" applyNumberFormat="1" applyFont="1" applyFill="1" applyBorder="1" applyAlignment="1">
      <alignment horizontal="center"/>
    </xf>
    <xf numFmtId="3" fontId="38" fillId="4" borderId="18" xfId="0" applyNumberFormat="1" applyFont="1" applyFill="1" applyBorder="1" applyAlignment="1">
      <alignment horizontal="center"/>
    </xf>
    <xf numFmtId="3" fontId="4" fillId="4" borderId="28" xfId="0" applyNumberFormat="1" applyFont="1" applyFill="1" applyBorder="1" applyAlignment="1">
      <alignment horizontal="center"/>
    </xf>
    <xf numFmtId="167" fontId="38" fillId="4" borderId="0" xfId="0" applyNumberFormat="1" applyFont="1" applyFill="1" applyBorder="1" applyAlignment="1">
      <alignment horizontal="center"/>
    </xf>
    <xf numFmtId="4" fontId="4" fillId="4" borderId="0" xfId="0" applyNumberFormat="1" applyFont="1" applyFill="1" applyBorder="1" applyAlignment="1">
      <alignment horizontal="center" vertical="center"/>
    </xf>
    <xf numFmtId="4" fontId="38" fillId="4" borderId="0" xfId="0" applyNumberFormat="1" applyFont="1" applyFill="1" applyBorder="1" applyAlignment="1">
      <alignment vertical="center" wrapText="1"/>
    </xf>
    <xf numFmtId="167" fontId="38" fillId="4" borderId="0" xfId="0" applyNumberFormat="1" applyFont="1" applyFill="1" applyBorder="1" applyAlignment="1">
      <alignment horizontal="center" vertical="center"/>
    </xf>
    <xf numFmtId="3" fontId="38" fillId="4" borderId="0" xfId="0" applyNumberFormat="1" applyFont="1" applyFill="1" applyBorder="1" applyAlignment="1">
      <alignment horizontal="center" vertical="center"/>
    </xf>
    <xf numFmtId="0" fontId="20" fillId="0" borderId="0" xfId="0" applyFont="1" applyBorder="1" applyAlignment="1">
      <alignment horizontal="left"/>
    </xf>
    <xf numFmtId="4" fontId="31" fillId="4" borderId="38" xfId="0" applyNumberFormat="1" applyFont="1" applyFill="1" applyBorder="1" applyAlignment="1">
      <alignment horizontal="left" wrapText="1"/>
    </xf>
    <xf numFmtId="4" fontId="38" fillId="4" borderId="43" xfId="0" applyNumberFormat="1" applyFont="1" applyFill="1" applyBorder="1" applyAlignment="1">
      <alignment horizontal="center"/>
    </xf>
    <xf numFmtId="1" fontId="4" fillId="4" borderId="43" xfId="0" applyNumberFormat="1" applyFont="1" applyFill="1" applyBorder="1" applyAlignment="1">
      <alignment horizontal="center"/>
    </xf>
    <xf numFmtId="167" fontId="4" fillId="4" borderId="43" xfId="0" applyNumberFormat="1" applyFont="1" applyFill="1" applyBorder="1" applyAlignment="1">
      <alignment horizontal="center"/>
    </xf>
    <xf numFmtId="3" fontId="4" fillId="0" borderId="18" xfId="0" applyNumberFormat="1" applyFont="1" applyBorder="1" applyAlignment="1">
      <alignment horizontal="center" vertical="center"/>
    </xf>
    <xf numFmtId="3" fontId="5" fillId="0" borderId="33" xfId="0" applyNumberFormat="1" applyFont="1" applyBorder="1" applyAlignment="1">
      <alignment horizontal="center"/>
    </xf>
    <xf numFmtId="3" fontId="46" fillId="0" borderId="31" xfId="0" applyNumberFormat="1" applyFont="1" applyBorder="1" applyAlignment="1">
      <alignment horizontal="center"/>
    </xf>
    <xf numFmtId="0" fontId="5" fillId="0" borderId="1" xfId="0" applyFont="1" applyBorder="1" applyAlignment="1">
      <alignment horizontal="left" vertical="center"/>
    </xf>
    <xf numFmtId="3" fontId="5" fillId="0" borderId="31" xfId="0" applyNumberFormat="1" applyFont="1" applyBorder="1" applyAlignment="1">
      <alignment horizontal="center" vertical="center"/>
    </xf>
    <xf numFmtId="0" fontId="5" fillId="0" borderId="28" xfId="0" applyFont="1" applyBorder="1" applyAlignment="1">
      <alignment horizontal="center"/>
    </xf>
    <xf numFmtId="3" fontId="4" fillId="0" borderId="31" xfId="0" applyNumberFormat="1" applyFont="1" applyBorder="1" applyAlignment="1">
      <alignment horizontal="center"/>
    </xf>
    <xf numFmtId="3" fontId="4" fillId="0" borderId="31" xfId="0" applyNumberFormat="1" applyFont="1" applyBorder="1" applyAlignment="1">
      <alignment horizontal="center" vertical="center"/>
    </xf>
    <xf numFmtId="4" fontId="4" fillId="4" borderId="31" xfId="0" applyNumberFormat="1" applyFont="1" applyFill="1" applyBorder="1" applyAlignment="1">
      <alignment horizontal="center" vertical="center"/>
    </xf>
    <xf numFmtId="4" fontId="22" fillId="4" borderId="31" xfId="0" applyNumberFormat="1" applyFont="1" applyFill="1" applyBorder="1" applyAlignment="1">
      <alignment horizontal="center" vertical="center"/>
    </xf>
    <xf numFmtId="3" fontId="4" fillId="0" borderId="0" xfId="0" applyNumberFormat="1" applyFont="1" applyBorder="1" applyAlignment="1">
      <alignment horizontal="center" vertical="center"/>
    </xf>
    <xf numFmtId="0" fontId="36" fillId="0" borderId="0" xfId="0" applyFont="1" applyAlignment="1">
      <alignment vertical="center"/>
    </xf>
    <xf numFmtId="0" fontId="36" fillId="0" borderId="0" xfId="0" applyFont="1" applyAlignment="1">
      <alignment horizontal="center" vertical="center"/>
    </xf>
    <xf numFmtId="3" fontId="5" fillId="0" borderId="30" xfId="0" applyNumberFormat="1" applyFont="1" applyBorder="1" applyAlignment="1">
      <alignment horizontal="center"/>
    </xf>
    <xf numFmtId="9" fontId="5" fillId="0" borderId="31" xfId="0" applyNumberFormat="1" applyFont="1" applyBorder="1" applyAlignment="1">
      <alignment horizontal="center" vertical="center"/>
    </xf>
    <xf numFmtId="0" fontId="46" fillId="0" borderId="1" xfId="0" applyFont="1" applyBorder="1" applyAlignment="1">
      <alignment horizontal="left" vertical="center" wrapText="1"/>
    </xf>
    <xf numFmtId="0" fontId="46" fillId="0" borderId="31" xfId="0" applyFont="1" applyBorder="1" applyAlignment="1">
      <alignment horizontal="center" vertical="center"/>
    </xf>
    <xf numFmtId="9" fontId="46" fillId="0" borderId="31" xfId="0" applyNumberFormat="1" applyFont="1" applyBorder="1" applyAlignment="1">
      <alignment horizontal="center" vertical="center"/>
    </xf>
    <xf numFmtId="0" fontId="40" fillId="0" borderId="0" xfId="0" applyFont="1" applyAlignment="1">
      <alignment vertical="center"/>
    </xf>
    <xf numFmtId="0" fontId="5" fillId="4" borderId="1" xfId="0" applyFont="1" applyFill="1" applyBorder="1" applyAlignment="1">
      <alignment horizontal="left" vertical="center"/>
    </xf>
    <xf numFmtId="174" fontId="5" fillId="0" borderId="31" xfId="0" applyNumberFormat="1" applyFont="1" applyBorder="1" applyAlignment="1">
      <alignment horizontal="center" vertical="center"/>
    </xf>
    <xf numFmtId="0" fontId="4" fillId="0" borderId="8" xfId="0" applyFont="1" applyBorder="1" applyAlignment="1">
      <alignment vertical="center"/>
    </xf>
    <xf numFmtId="3" fontId="5" fillId="0" borderId="43" xfId="0" applyNumberFormat="1" applyFont="1" applyBorder="1" applyAlignment="1">
      <alignment horizontal="center" vertical="center"/>
    </xf>
    <xf numFmtId="3" fontId="5" fillId="0" borderId="39" xfId="0" applyNumberFormat="1" applyFont="1" applyBorder="1" applyAlignment="1">
      <alignment horizontal="center" vertical="center"/>
    </xf>
    <xf numFmtId="3" fontId="48" fillId="0" borderId="38" xfId="0" applyNumberFormat="1" applyFont="1" applyBorder="1" applyAlignment="1">
      <alignment vertical="center"/>
    </xf>
    <xf numFmtId="3" fontId="5" fillId="4" borderId="1" xfId="0" applyNumberFormat="1" applyFont="1" applyFill="1" applyBorder="1" applyAlignment="1">
      <alignment horizontal="left" vertical="center"/>
    </xf>
    <xf numFmtId="3" fontId="5" fillId="0" borderId="37" xfId="0" applyNumberFormat="1" applyFont="1" applyBorder="1" applyAlignment="1">
      <alignment horizontal="center" vertical="center"/>
    </xf>
    <xf numFmtId="0" fontId="40" fillId="4" borderId="0" xfId="0" applyFont="1" applyFill="1" applyAlignment="1">
      <alignment vertical="center"/>
    </xf>
    <xf numFmtId="0" fontId="40" fillId="5" borderId="0" xfId="0" applyFont="1" applyFill="1" applyAlignment="1">
      <alignment vertical="center"/>
    </xf>
    <xf numFmtId="0" fontId="5" fillId="0" borderId="30" xfId="0" applyFont="1" applyBorder="1" applyAlignment="1">
      <alignment horizontal="center"/>
    </xf>
    <xf numFmtId="0" fontId="5" fillId="0" borderId="31" xfId="0" applyFont="1" applyBorder="1" applyAlignment="1">
      <alignment horizontal="left"/>
    </xf>
    <xf numFmtId="0" fontId="5" fillId="0" borderId="33" xfId="0" applyFont="1" applyBorder="1" applyAlignment="1">
      <alignment horizontal="center" vertical="center"/>
    </xf>
    <xf numFmtId="3" fontId="43" fillId="0" borderId="31" xfId="0" applyNumberFormat="1" applyFont="1" applyBorder="1" applyAlignment="1">
      <alignment vertical="center"/>
    </xf>
    <xf numFmtId="9" fontId="43" fillId="0" borderId="0" xfId="0" applyNumberFormat="1" applyFont="1" applyAlignment="1">
      <alignment vertical="center"/>
    </xf>
    <xf numFmtId="0" fontId="43" fillId="0" borderId="0" xfId="0" applyFont="1" applyAlignment="1">
      <alignment vertical="center"/>
    </xf>
    <xf numFmtId="3" fontId="0" fillId="0" borderId="31" xfId="0" applyNumberFormat="1" applyBorder="1" applyAlignment="1">
      <alignment vertical="center"/>
    </xf>
    <xf numFmtId="9" fontId="0" fillId="0" borderId="0" xfId="0" applyNumberFormat="1" applyAlignment="1">
      <alignment vertical="center"/>
    </xf>
    <xf numFmtId="3" fontId="42" fillId="0" borderId="31" xfId="0" applyNumberFormat="1" applyFont="1" applyBorder="1" applyAlignment="1">
      <alignment vertical="center"/>
    </xf>
    <xf numFmtId="9" fontId="42" fillId="0" borderId="0" xfId="0" applyNumberFormat="1" applyFont="1" applyAlignment="1">
      <alignment vertical="center"/>
    </xf>
    <xf numFmtId="0" fontId="42" fillId="0" borderId="0" xfId="0" applyFont="1" applyAlignment="1">
      <alignment vertical="center"/>
    </xf>
    <xf numFmtId="167" fontId="20" fillId="0" borderId="0" xfId="2" applyNumberFormat="1" applyFont="1" applyFill="1" applyBorder="1" applyAlignment="1">
      <alignment horizontal="center"/>
    </xf>
    <xf numFmtId="167" fontId="5" fillId="0" borderId="0" xfId="0" applyNumberFormat="1" applyFont="1" applyBorder="1" applyAlignment="1">
      <alignment horizontal="center" vertical="center"/>
    </xf>
    <xf numFmtId="0" fontId="5" fillId="0" borderId="31" xfId="0" applyFont="1" applyBorder="1" applyAlignment="1">
      <alignment vertical="center"/>
    </xf>
    <xf numFmtId="0" fontId="5" fillId="0" borderId="31" xfId="0" applyFont="1" applyBorder="1" applyAlignment="1"/>
    <xf numFmtId="3" fontId="4" fillId="4" borderId="13" xfId="0" applyNumberFormat="1" applyFont="1" applyFill="1" applyBorder="1" applyAlignment="1">
      <alignment horizontal="center"/>
    </xf>
    <xf numFmtId="0" fontId="2" fillId="0" borderId="31" xfId="0" applyFont="1" applyBorder="1" applyAlignment="1">
      <alignment horizontal="center" vertical="center" wrapText="1"/>
    </xf>
    <xf numFmtId="0" fontId="0" fillId="0" borderId="51" xfId="0" applyBorder="1" applyAlignment="1">
      <alignment horizontal="center" vertical="center"/>
    </xf>
    <xf numFmtId="0" fontId="0" fillId="0" borderId="61" xfId="0" applyBorder="1" applyAlignment="1">
      <alignment horizontal="center" vertical="center"/>
    </xf>
    <xf numFmtId="0" fontId="0" fillId="0" borderId="27" xfId="0" applyBorder="1" applyAlignment="1">
      <alignment horizontal="center" vertical="center"/>
    </xf>
    <xf numFmtId="0" fontId="2" fillId="0" borderId="0" xfId="0" applyFont="1" applyBorder="1" applyAlignment="1">
      <alignment horizontal="center" wrapText="1"/>
    </xf>
    <xf numFmtId="3" fontId="2" fillId="0" borderId="0" xfId="0" applyNumberFormat="1" applyFont="1" applyBorder="1" applyAlignment="1">
      <alignment horizontal="center"/>
    </xf>
    <xf numFmtId="0" fontId="2" fillId="0" borderId="0" xfId="0" applyFont="1" applyBorder="1" applyAlignment="1">
      <alignment horizontal="center" vertical="center"/>
    </xf>
    <xf numFmtId="3" fontId="36" fillId="0" borderId="0" xfId="0" applyNumberFormat="1" applyFont="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3" fontId="36" fillId="0" borderId="0" xfId="0" applyNumberFormat="1" applyFont="1" applyBorder="1" applyAlignment="1"/>
    <xf numFmtId="0" fontId="49" fillId="0" borderId="0" xfId="0" applyFont="1" applyBorder="1" applyAlignment="1">
      <alignment horizontal="center" vertical="center"/>
    </xf>
    <xf numFmtId="0" fontId="22" fillId="0" borderId="31" xfId="0" applyFont="1" applyFill="1" applyBorder="1" applyAlignment="1">
      <alignment horizontal="center" vertical="center"/>
    </xf>
    <xf numFmtId="3" fontId="2" fillId="0" borderId="37" xfId="0" applyNumberFormat="1" applyFont="1" applyBorder="1" applyAlignment="1">
      <alignment horizontal="center" vertical="center" wrapText="1"/>
    </xf>
    <xf numFmtId="0" fontId="52" fillId="0" borderId="0" xfId="0" applyFont="1" applyAlignment="1">
      <alignment vertical="center"/>
    </xf>
    <xf numFmtId="0" fontId="51" fillId="0" borderId="43" xfId="0" applyFont="1" applyBorder="1" applyAlignment="1">
      <alignment horizontal="center" vertical="center"/>
    </xf>
    <xf numFmtId="0" fontId="50" fillId="0" borderId="0" xfId="0" applyFont="1" applyAlignment="1">
      <alignment vertical="center"/>
    </xf>
    <xf numFmtId="0" fontId="45" fillId="0" borderId="31" xfId="0" applyFont="1" applyBorder="1" applyAlignment="1">
      <alignment horizontal="center" vertical="center"/>
    </xf>
    <xf numFmtId="3" fontId="45" fillId="0" borderId="31" xfId="0" applyNumberFormat="1" applyFont="1" applyBorder="1" applyAlignment="1">
      <alignment horizontal="center" vertical="center"/>
    </xf>
    <xf numFmtId="3" fontId="5" fillId="0" borderId="0" xfId="0" applyNumberFormat="1" applyFont="1" applyBorder="1" applyAlignment="1">
      <alignment horizontal="center"/>
    </xf>
    <xf numFmtId="3" fontId="2" fillId="0" borderId="0" xfId="0" applyNumberFormat="1" applyFont="1" applyBorder="1" applyAlignment="1">
      <alignment horizontal="center" wrapText="1"/>
    </xf>
    <xf numFmtId="0" fontId="5" fillId="0" borderId="43" xfId="0" applyFont="1" applyBorder="1" applyAlignment="1">
      <alignment horizontal="center" vertical="center"/>
    </xf>
    <xf numFmtId="9" fontId="2" fillId="4" borderId="0" xfId="0" applyNumberFormat="1" applyFont="1" applyFill="1" applyBorder="1" applyAlignment="1">
      <alignment horizontal="center"/>
    </xf>
    <xf numFmtId="0" fontId="2" fillId="0" borderId="0" xfId="0" applyFont="1" applyAlignment="1">
      <alignment horizontal="center"/>
    </xf>
    <xf numFmtId="1" fontId="4" fillId="4" borderId="13" xfId="0" applyNumberFormat="1" applyFont="1" applyFill="1" applyBorder="1" applyAlignment="1">
      <alignment horizontal="center"/>
    </xf>
    <xf numFmtId="0" fontId="5" fillId="0" borderId="0" xfId="0" applyFont="1" applyBorder="1" applyAlignment="1">
      <alignment horizontal="center"/>
    </xf>
    <xf numFmtId="0" fontId="4" fillId="4" borderId="0" xfId="0" applyFont="1" applyFill="1" applyAlignment="1"/>
    <xf numFmtId="0" fontId="4" fillId="4" borderId="31" xfId="0" applyFont="1" applyFill="1" applyBorder="1" applyAlignment="1">
      <alignment horizontal="center"/>
    </xf>
    <xf numFmtId="3" fontId="4" fillId="4" borderId="23" xfId="0" applyNumberFormat="1" applyFont="1" applyFill="1" applyBorder="1" applyAlignment="1">
      <alignment horizontal="center"/>
    </xf>
    <xf numFmtId="3" fontId="4" fillId="4" borderId="31" xfId="0" applyNumberFormat="1" applyFont="1" applyFill="1" applyBorder="1" applyAlignment="1">
      <alignment horizontal="center" vertical="center"/>
    </xf>
    <xf numFmtId="1" fontId="4" fillId="4" borderId="31" xfId="0" applyNumberFormat="1" applyFont="1" applyFill="1" applyBorder="1" applyAlignment="1">
      <alignment horizontal="center"/>
    </xf>
    <xf numFmtId="3" fontId="4" fillId="4" borderId="37" xfId="0" applyNumberFormat="1" applyFont="1" applyFill="1" applyBorder="1" applyAlignment="1">
      <alignment horizontal="center"/>
    </xf>
    <xf numFmtId="0" fontId="4" fillId="4" borderId="43" xfId="0" applyFont="1" applyFill="1" applyBorder="1" applyAlignment="1">
      <alignment horizontal="center"/>
    </xf>
    <xf numFmtId="9" fontId="5" fillId="4" borderId="31" xfId="0" applyNumberFormat="1" applyFont="1" applyFill="1" applyBorder="1" applyAlignment="1">
      <alignment horizontal="center"/>
    </xf>
    <xf numFmtId="3" fontId="4" fillId="4" borderId="0" xfId="0" applyNumberFormat="1" applyFont="1" applyFill="1" applyBorder="1" applyAlignment="1">
      <alignment horizontal="center"/>
    </xf>
    <xf numFmtId="0" fontId="5" fillId="4" borderId="31" xfId="0" applyFont="1" applyFill="1" applyBorder="1" applyAlignment="1">
      <alignment horizontal="center"/>
    </xf>
    <xf numFmtId="0" fontId="5" fillId="4" borderId="0" xfId="0" applyFont="1" applyFill="1" applyAlignment="1">
      <alignment horizontal="center"/>
    </xf>
    <xf numFmtId="167" fontId="5" fillId="0" borderId="31" xfId="2" applyNumberFormat="1" applyFont="1" applyBorder="1" applyAlignment="1">
      <alignment horizontal="center"/>
    </xf>
    <xf numFmtId="4" fontId="5" fillId="4" borderId="31" xfId="0" applyNumberFormat="1" applyFont="1" applyFill="1" applyBorder="1" applyAlignment="1">
      <alignment horizontal="center"/>
    </xf>
    <xf numFmtId="9" fontId="38" fillId="4" borderId="0" xfId="0" applyNumberFormat="1" applyFont="1" applyFill="1" applyBorder="1" applyAlignment="1">
      <alignment horizontal="center"/>
    </xf>
    <xf numFmtId="4" fontId="4" fillId="4" borderId="0" xfId="0" applyNumberFormat="1" applyFont="1" applyFill="1" applyBorder="1" applyAlignment="1">
      <alignment horizontal="right"/>
    </xf>
    <xf numFmtId="4" fontId="4" fillId="4" borderId="59" xfId="0" applyNumberFormat="1" applyFont="1" applyFill="1" applyBorder="1" applyAlignment="1">
      <alignment horizontal="right"/>
    </xf>
    <xf numFmtId="0" fontId="46" fillId="3" borderId="37" xfId="0" applyFont="1" applyFill="1" applyBorder="1" applyAlignment="1">
      <alignment horizontal="center" vertical="center"/>
    </xf>
    <xf numFmtId="3" fontId="46" fillId="3" borderId="37" xfId="0" applyNumberFormat="1" applyFont="1" applyFill="1" applyBorder="1" applyAlignment="1">
      <alignment horizontal="center" vertical="center"/>
    </xf>
    <xf numFmtId="0" fontId="51" fillId="0" borderId="0" xfId="0" applyFont="1" applyAlignment="1">
      <alignment horizontal="center"/>
    </xf>
    <xf numFmtId="4" fontId="5" fillId="4" borderId="48" xfId="0" applyNumberFormat="1" applyFont="1" applyFill="1" applyBorder="1" applyAlignment="1">
      <alignment horizontal="left"/>
    </xf>
    <xf numFmtId="4" fontId="5" fillId="4" borderId="48" xfId="0" applyNumberFormat="1" applyFont="1" applyFill="1" applyBorder="1" applyAlignment="1">
      <alignment horizontal="left" vertical="center" wrapText="1"/>
    </xf>
    <xf numFmtId="3" fontId="5" fillId="4" borderId="48" xfId="0" applyNumberFormat="1" applyFont="1" applyFill="1" applyBorder="1" applyAlignment="1">
      <alignment horizontal="left"/>
    </xf>
    <xf numFmtId="0" fontId="22" fillId="0" borderId="0" xfId="0" applyFont="1" applyAlignment="1">
      <alignment horizontal="center" vertical="center"/>
    </xf>
    <xf numFmtId="0" fontId="30" fillId="0" borderId="0" xfId="0" applyFont="1" applyBorder="1" applyAlignment="1">
      <alignment horizontal="left" wrapText="1"/>
    </xf>
    <xf numFmtId="0" fontId="18" fillId="0" borderId="0" xfId="0" applyFont="1" applyAlignment="1"/>
    <xf numFmtId="0" fontId="21" fillId="0" borderId="0" xfId="0" applyFont="1" applyBorder="1" applyAlignment="1"/>
    <xf numFmtId="0" fontId="34" fillId="0" borderId="0" xfId="0" applyFont="1" applyBorder="1" applyAlignment="1"/>
    <xf numFmtId="164" fontId="34" fillId="0" borderId="0" xfId="0" applyNumberFormat="1" applyFont="1" applyBorder="1" applyAlignment="1"/>
    <xf numFmtId="0" fontId="4" fillId="2" borderId="32" xfId="0" applyFont="1" applyFill="1" applyBorder="1" applyAlignment="1">
      <alignment horizontal="center" vertical="center" wrapText="1"/>
    </xf>
    <xf numFmtId="0" fontId="4" fillId="2" borderId="9" xfId="0" applyFont="1" applyFill="1" applyBorder="1" applyAlignment="1">
      <alignment horizontal="center" vertical="center" wrapText="1"/>
    </xf>
    <xf numFmtId="176" fontId="4" fillId="0" borderId="31" xfId="0" applyNumberFormat="1" applyFont="1" applyBorder="1" applyAlignment="1">
      <alignment horizontal="center" vertical="center"/>
    </xf>
    <xf numFmtId="9" fontId="4" fillId="0" borderId="31" xfId="0" applyNumberFormat="1" applyFont="1" applyBorder="1" applyAlignment="1">
      <alignment horizontal="center" vertical="center"/>
    </xf>
    <xf numFmtId="0" fontId="22" fillId="4" borderId="31" xfId="0" applyFont="1" applyFill="1" applyBorder="1" applyAlignment="1">
      <alignment horizontal="center" vertical="center"/>
    </xf>
    <xf numFmtId="0" fontId="5" fillId="0" borderId="31" xfId="0" applyFont="1" applyBorder="1" applyAlignment="1">
      <alignment horizontal="center" vertical="center"/>
    </xf>
    <xf numFmtId="0" fontId="22" fillId="0" borderId="0" xfId="0" applyFont="1" applyAlignment="1">
      <alignment horizontal="center" vertical="center"/>
    </xf>
    <xf numFmtId="1" fontId="5" fillId="0" borderId="31" xfId="0" applyNumberFormat="1" applyFont="1" applyBorder="1" applyAlignment="1">
      <alignment horizontal="center" vertical="center"/>
    </xf>
    <xf numFmtId="3" fontId="22" fillId="4" borderId="28" xfId="0" applyNumberFormat="1" applyFont="1" applyFill="1" applyBorder="1" applyAlignment="1">
      <alignment horizontal="center" vertical="center"/>
    </xf>
    <xf numFmtId="0" fontId="23" fillId="4" borderId="30" xfId="0" applyFont="1" applyFill="1" applyBorder="1" applyAlignment="1">
      <alignment vertical="center" wrapText="1"/>
    </xf>
    <xf numFmtId="3" fontId="22" fillId="4" borderId="65" xfId="0" applyNumberFormat="1" applyFont="1" applyFill="1" applyBorder="1" applyAlignment="1">
      <alignment horizontal="center" vertical="center"/>
    </xf>
    <xf numFmtId="3" fontId="22" fillId="4" borderId="23" xfId="0" applyNumberFormat="1" applyFont="1" applyFill="1" applyBorder="1" applyAlignment="1">
      <alignment horizontal="center" vertical="center"/>
    </xf>
    <xf numFmtId="3" fontId="4" fillId="4" borderId="23" xfId="0" applyNumberFormat="1" applyFont="1" applyFill="1" applyBorder="1" applyAlignment="1">
      <alignment horizontal="center" vertical="center"/>
    </xf>
    <xf numFmtId="0" fontId="45" fillId="4" borderId="31" xfId="0" applyFont="1" applyFill="1" applyBorder="1" applyAlignment="1">
      <alignment horizontal="center" vertical="center"/>
    </xf>
    <xf numFmtId="3" fontId="22" fillId="4" borderId="0" xfId="0" applyNumberFormat="1" applyFont="1" applyFill="1" applyAlignment="1"/>
    <xf numFmtId="3" fontId="20" fillId="4" borderId="43" xfId="0" applyNumberFormat="1" applyFont="1" applyFill="1" applyBorder="1" applyAlignment="1">
      <alignment horizontal="center"/>
    </xf>
    <xf numFmtId="3" fontId="4" fillId="4" borderId="43" xfId="0" applyNumberFormat="1" applyFont="1" applyFill="1" applyBorder="1" applyAlignment="1">
      <alignment horizontal="center"/>
    </xf>
    <xf numFmtId="3" fontId="20" fillId="4" borderId="0" xfId="0" applyNumberFormat="1" applyFont="1" applyFill="1"/>
    <xf numFmtId="0" fontId="4" fillId="0" borderId="0" xfId="0" applyFont="1" applyAlignment="1">
      <alignment horizontal="center" vertical="center"/>
    </xf>
    <xf numFmtId="9" fontId="22" fillId="0" borderId="0" xfId="0" applyNumberFormat="1" applyFont="1" applyAlignment="1">
      <alignment horizontal="center" vertical="center"/>
    </xf>
    <xf numFmtId="168" fontId="4" fillId="0" borderId="0" xfId="0" applyNumberFormat="1" applyFont="1" applyAlignment="1">
      <alignment horizontal="center" vertical="center"/>
    </xf>
    <xf numFmtId="9" fontId="4" fillId="0" borderId="0" xfId="0" applyNumberFormat="1" applyFont="1" applyAlignment="1">
      <alignment horizontal="center" vertical="center"/>
    </xf>
    <xf numFmtId="0" fontId="0" fillId="0" borderId="0" xfId="0" applyBorder="1" applyAlignment="1">
      <alignment horizontal="left" wrapText="1"/>
    </xf>
    <xf numFmtId="0" fontId="2" fillId="0" borderId="6" xfId="0" applyFont="1" applyBorder="1"/>
    <xf numFmtId="0" fontId="9" fillId="14" borderId="0" xfId="0" applyFont="1" applyFill="1" applyAlignment="1">
      <alignment vertical="center"/>
    </xf>
    <xf numFmtId="0" fontId="54" fillId="14" borderId="0" xfId="0" applyFont="1" applyFill="1" applyAlignment="1">
      <alignment horizontal="center" vertical="center"/>
    </xf>
    <xf numFmtId="0" fontId="18" fillId="14" borderId="0" xfId="0" applyFont="1" applyFill="1" applyAlignment="1">
      <alignment horizontal="center" vertical="center"/>
    </xf>
    <xf numFmtId="0" fontId="9" fillId="16" borderId="0" xfId="0" applyFont="1" applyFill="1" applyAlignment="1">
      <alignment vertical="center"/>
    </xf>
    <xf numFmtId="0" fontId="9" fillId="0" borderId="0" xfId="0" applyFont="1" applyBorder="1" applyAlignment="1">
      <alignment horizontal="center" vertical="center"/>
    </xf>
    <xf numFmtId="0" fontId="9" fillId="4" borderId="0" xfId="0" applyFont="1" applyFill="1" applyAlignment="1">
      <alignment vertical="center"/>
    </xf>
    <xf numFmtId="0" fontId="54" fillId="4" borderId="0" xfId="0" applyFont="1" applyFill="1" applyAlignment="1">
      <alignment horizontal="center" vertical="center"/>
    </xf>
    <xf numFmtId="0" fontId="18" fillId="4" borderId="0" xfId="0" applyFont="1" applyFill="1" applyAlignment="1">
      <alignment horizontal="center" vertical="center"/>
    </xf>
    <xf numFmtId="0" fontId="54" fillId="4" borderId="0" xfId="0" applyFont="1" applyFill="1" applyBorder="1" applyAlignment="1">
      <alignment vertical="center"/>
    </xf>
    <xf numFmtId="0" fontId="9" fillId="4" borderId="0" xfId="0" applyFont="1" applyFill="1" applyBorder="1" applyAlignment="1">
      <alignment vertical="center"/>
    </xf>
    <xf numFmtId="0" fontId="55" fillId="0" borderId="0" xfId="0" applyFont="1" applyBorder="1" applyAlignment="1">
      <alignment horizontal="center" vertical="center"/>
    </xf>
    <xf numFmtId="0" fontId="55" fillId="0" borderId="40" xfId="0" applyFont="1" applyBorder="1" applyAlignment="1">
      <alignment horizontal="left" vertical="center" wrapText="1"/>
    </xf>
    <xf numFmtId="0" fontId="20" fillId="0" borderId="0" xfId="0" applyFont="1" applyFill="1" applyBorder="1" applyAlignment="1">
      <alignment horizontal="center" vertical="center" wrapText="1"/>
    </xf>
    <xf numFmtId="0" fontId="55" fillId="0" borderId="0" xfId="0" applyFont="1" applyAlignment="1">
      <alignment horizontal="center" vertical="center"/>
    </xf>
    <xf numFmtId="0" fontId="9" fillId="4" borderId="0" xfId="0" applyFont="1" applyFill="1" applyBorder="1" applyAlignment="1">
      <alignment horizontal="center" vertical="center"/>
    </xf>
    <xf numFmtId="0" fontId="5" fillId="4" borderId="0" xfId="0" applyFont="1" applyFill="1" applyBorder="1" applyAlignment="1">
      <alignment horizontal="left" vertical="center" wrapText="1"/>
    </xf>
    <xf numFmtId="0" fontId="38" fillId="0" borderId="4" xfId="0" applyFont="1" applyBorder="1" applyAlignment="1">
      <alignment horizontal="left" vertical="center"/>
    </xf>
    <xf numFmtId="0" fontId="38" fillId="0" borderId="8" xfId="0" applyFont="1" applyBorder="1" applyAlignment="1">
      <alignment vertical="center"/>
    </xf>
    <xf numFmtId="0" fontId="38" fillId="0" borderId="1" xfId="0" applyFont="1" applyBorder="1" applyAlignment="1">
      <alignment vertical="center"/>
    </xf>
    <xf numFmtId="176" fontId="4" fillId="4" borderId="31" xfId="0" applyNumberFormat="1" applyFont="1" applyFill="1" applyBorder="1" applyAlignment="1">
      <alignment horizontal="center"/>
    </xf>
    <xf numFmtId="0" fontId="38" fillId="0" borderId="38" xfId="0" applyFont="1" applyBorder="1" applyAlignment="1">
      <alignment horizontal="left"/>
    </xf>
    <xf numFmtId="0" fontId="4" fillId="4" borderId="38" xfId="0" applyFont="1" applyFill="1" applyBorder="1" applyAlignment="1">
      <alignment horizontal="center" vertical="center"/>
    </xf>
    <xf numFmtId="3" fontId="4" fillId="4" borderId="39" xfId="0" applyNumberFormat="1" applyFont="1" applyFill="1" applyBorder="1" applyAlignment="1">
      <alignment horizontal="center"/>
    </xf>
    <xf numFmtId="4" fontId="4" fillId="4" borderId="1" xfId="0" applyNumberFormat="1" applyFont="1" applyFill="1" applyBorder="1" applyAlignment="1">
      <alignment horizontal="center" vertical="center" wrapText="1"/>
    </xf>
    <xf numFmtId="3" fontId="4" fillId="4" borderId="22" xfId="0" applyNumberFormat="1" applyFont="1" applyFill="1" applyBorder="1" applyAlignment="1">
      <alignment horizontal="center"/>
    </xf>
    <xf numFmtId="4" fontId="4" fillId="4" borderId="2" xfId="0" applyNumberFormat="1" applyFont="1" applyFill="1" applyBorder="1" applyAlignment="1">
      <alignment horizontal="center" vertical="center" wrapText="1"/>
    </xf>
    <xf numFmtId="3" fontId="4" fillId="4" borderId="37" xfId="0" applyNumberFormat="1" applyFont="1" applyFill="1" applyBorder="1" applyAlignment="1">
      <alignment horizontal="center" vertical="center"/>
    </xf>
    <xf numFmtId="3" fontId="4" fillId="4" borderId="18" xfId="0" applyNumberFormat="1" applyFont="1" applyFill="1" applyBorder="1" applyAlignment="1">
      <alignment horizontal="center" vertical="center"/>
    </xf>
    <xf numFmtId="4" fontId="4" fillId="4" borderId="31" xfId="0" applyNumberFormat="1" applyFont="1" applyFill="1" applyBorder="1" applyAlignment="1"/>
    <xf numFmtId="4" fontId="4" fillId="4" borderId="2" xfId="0" applyNumberFormat="1" applyFont="1" applyFill="1" applyBorder="1" applyAlignment="1">
      <alignment horizontal="left" vertical="center" wrapText="1"/>
    </xf>
    <xf numFmtId="4" fontId="4" fillId="4" borderId="37" xfId="0" applyNumberFormat="1" applyFont="1" applyFill="1" applyBorder="1" applyAlignment="1">
      <alignment vertical="center"/>
    </xf>
    <xf numFmtId="4" fontId="4" fillId="4" borderId="37" xfId="0" applyNumberFormat="1" applyFont="1" applyFill="1" applyBorder="1" applyAlignment="1">
      <alignment horizontal="center" vertical="center"/>
    </xf>
    <xf numFmtId="0" fontId="38" fillId="0" borderId="4" xfId="0" applyFont="1" applyBorder="1" applyAlignment="1">
      <alignment vertical="center"/>
    </xf>
    <xf numFmtId="0" fontId="48" fillId="4" borderId="8" xfId="0" applyFont="1" applyFill="1" applyBorder="1" applyAlignment="1">
      <alignment horizontal="left" vertical="center"/>
    </xf>
    <xf numFmtId="0" fontId="46" fillId="4" borderId="31" xfId="0" applyFont="1" applyFill="1" applyBorder="1" applyAlignment="1">
      <alignment horizontal="center" vertical="center"/>
    </xf>
    <xf numFmtId="3" fontId="48" fillId="4" borderId="1" xfId="0" applyNumberFormat="1" applyFont="1" applyFill="1" applyBorder="1" applyAlignment="1">
      <alignment vertical="center"/>
    </xf>
    <xf numFmtId="3" fontId="45" fillId="4" borderId="31" xfId="0" applyNumberFormat="1" applyFont="1" applyFill="1" applyBorder="1" applyAlignment="1">
      <alignment horizontal="center" vertical="center"/>
    </xf>
    <xf numFmtId="0" fontId="46" fillId="0" borderId="1" xfId="0" applyFont="1" applyBorder="1" applyAlignment="1">
      <alignment horizontal="left" vertical="center"/>
    </xf>
    <xf numFmtId="0" fontId="8" fillId="0" borderId="0" xfId="0" applyFont="1" applyAlignment="1">
      <alignment horizontal="left" vertical="center" wrapText="1"/>
    </xf>
    <xf numFmtId="0" fontId="18" fillId="0" borderId="0" xfId="0" applyFont="1" applyBorder="1" applyAlignment="1">
      <alignment vertical="center"/>
    </xf>
    <xf numFmtId="0" fontId="2" fillId="0" borderId="14" xfId="0" applyFont="1" applyBorder="1"/>
    <xf numFmtId="0" fontId="2" fillId="0" borderId="14" xfId="0" applyFont="1" applyBorder="1" applyAlignment="1">
      <alignment horizontal="center"/>
    </xf>
    <xf numFmtId="3" fontId="22" fillId="4" borderId="31" xfId="0" applyNumberFormat="1" applyFont="1" applyFill="1" applyBorder="1" applyAlignment="1">
      <alignment horizontal="center" vertical="center"/>
    </xf>
    <xf numFmtId="3" fontId="44" fillId="4" borderId="0" xfId="0" applyNumberFormat="1" applyFont="1" applyFill="1" applyAlignment="1">
      <alignment horizontal="center" vertical="center"/>
    </xf>
    <xf numFmtId="0" fontId="5" fillId="4" borderId="28" xfId="0" applyFont="1" applyFill="1" applyBorder="1" applyAlignment="1">
      <alignment horizontal="center"/>
    </xf>
    <xf numFmtId="0" fontId="4" fillId="0" borderId="0" xfId="0" applyFont="1" applyFill="1" applyAlignment="1"/>
    <xf numFmtId="3" fontId="4" fillId="0" borderId="52" xfId="0" applyNumberFormat="1" applyFont="1" applyBorder="1" applyAlignment="1">
      <alignment horizontal="center"/>
    </xf>
    <xf numFmtId="3" fontId="4" fillId="0" borderId="23" xfId="0" applyNumberFormat="1" applyFont="1" applyBorder="1" applyAlignment="1">
      <alignment horizontal="center"/>
    </xf>
    <xf numFmtId="1" fontId="4" fillId="0" borderId="31" xfId="0" applyNumberFormat="1" applyFont="1" applyFill="1" applyBorder="1" applyAlignment="1">
      <alignment horizontal="center"/>
    </xf>
    <xf numFmtId="3" fontId="4" fillId="0" borderId="37" xfId="0" applyNumberFormat="1" applyFont="1" applyBorder="1" applyAlignment="1">
      <alignment horizontal="center"/>
    </xf>
    <xf numFmtId="0" fontId="5" fillId="0" borderId="43" xfId="0" applyFont="1" applyBorder="1" applyAlignment="1">
      <alignment horizontal="center"/>
    </xf>
    <xf numFmtId="1" fontId="4" fillId="4" borderId="39" xfId="0" applyNumberFormat="1" applyFont="1" applyFill="1" applyBorder="1" applyAlignment="1">
      <alignment horizontal="center"/>
    </xf>
    <xf numFmtId="3" fontId="4" fillId="4" borderId="33" xfId="0" applyNumberFormat="1" applyFont="1" applyFill="1" applyBorder="1" applyAlignment="1">
      <alignment horizontal="center"/>
    </xf>
    <xf numFmtId="0" fontId="4" fillId="0" borderId="0" xfId="0" applyFont="1" applyBorder="1" applyAlignment="1">
      <alignment vertical="center"/>
    </xf>
    <xf numFmtId="0" fontId="4" fillId="0" borderId="38" xfId="0" applyFont="1" applyBorder="1" applyAlignment="1">
      <alignment wrapText="1"/>
    </xf>
    <xf numFmtId="0" fontId="4" fillId="4" borderId="30" xfId="0" applyFont="1" applyFill="1" applyBorder="1" applyAlignment="1">
      <alignment vertical="center" wrapText="1"/>
    </xf>
    <xf numFmtId="3" fontId="23" fillId="4" borderId="65" xfId="0" applyNumberFormat="1" applyFont="1" applyFill="1" applyBorder="1" applyAlignment="1">
      <alignment vertical="center" wrapText="1"/>
    </xf>
    <xf numFmtId="3" fontId="36" fillId="0" borderId="0" xfId="0" applyNumberFormat="1" applyFont="1" applyAlignment="1">
      <alignment horizontal="center"/>
    </xf>
    <xf numFmtId="168" fontId="22" fillId="0" borderId="29" xfId="1" applyNumberFormat="1" applyFont="1" applyFill="1" applyBorder="1" applyAlignment="1">
      <alignment horizontal="right" vertical="center"/>
    </xf>
    <xf numFmtId="0" fontId="22" fillId="0" borderId="29" xfId="0" applyFont="1" applyBorder="1" applyAlignment="1">
      <alignment horizontal="center" vertical="center"/>
    </xf>
    <xf numFmtId="0" fontId="22" fillId="0" borderId="29" xfId="0" applyFont="1" applyFill="1" applyBorder="1" applyAlignment="1">
      <alignment horizontal="center" vertical="center"/>
    </xf>
    <xf numFmtId="3" fontId="4" fillId="0" borderId="39" xfId="0" applyNumberFormat="1" applyFont="1" applyBorder="1" applyAlignment="1">
      <alignment horizontal="right" vertical="center" wrapText="1"/>
    </xf>
    <xf numFmtId="0" fontId="16" fillId="0" borderId="33" xfId="0" applyFont="1" applyBorder="1" applyAlignment="1">
      <alignment horizontal="right" vertical="center"/>
    </xf>
    <xf numFmtId="0" fontId="16" fillId="0" borderId="39" xfId="0" applyFont="1" applyBorder="1" applyAlignment="1">
      <alignment horizontal="right" vertical="center"/>
    </xf>
    <xf numFmtId="0" fontId="21" fillId="0" borderId="0" xfId="0" applyFont="1" applyAlignment="1">
      <alignment horizontal="right"/>
    </xf>
    <xf numFmtId="0" fontId="19" fillId="0" borderId="0" xfId="0" applyFont="1" applyBorder="1"/>
    <xf numFmtId="0" fontId="19" fillId="0" borderId="0" xfId="0" applyFont="1" applyAlignment="1">
      <alignment wrapText="1"/>
    </xf>
    <xf numFmtId="0" fontId="19" fillId="0" borderId="0" xfId="0" applyFont="1" applyAlignment="1">
      <alignment vertical="center"/>
    </xf>
    <xf numFmtId="0" fontId="4" fillId="0" borderId="38" xfId="0" applyFont="1" applyBorder="1" applyAlignment="1">
      <alignment vertical="center" wrapText="1"/>
    </xf>
    <xf numFmtId="4" fontId="5" fillId="4" borderId="0" xfId="0" applyNumberFormat="1" applyFont="1" applyFill="1" applyBorder="1" applyAlignment="1">
      <alignment horizontal="left" vertical="center"/>
    </xf>
    <xf numFmtId="9" fontId="34" fillId="4" borderId="0" xfId="0" applyNumberFormat="1" applyFont="1" applyFill="1" applyBorder="1" applyAlignment="1">
      <alignment horizontal="center" vertical="center"/>
    </xf>
    <xf numFmtId="9" fontId="50" fillId="4" borderId="0" xfId="0" applyNumberFormat="1" applyFont="1" applyFill="1" applyBorder="1" applyAlignment="1">
      <alignment horizontal="center" vertical="center"/>
    </xf>
    <xf numFmtId="0" fontId="22" fillId="0" borderId="62" xfId="0" applyFont="1" applyFill="1" applyBorder="1" applyAlignment="1">
      <alignment horizontal="center" vertical="center"/>
    </xf>
    <xf numFmtId="0" fontId="4" fillId="0" borderId="29" xfId="0" applyFont="1" applyBorder="1" applyAlignment="1">
      <alignment horizontal="right" vertical="center"/>
    </xf>
    <xf numFmtId="0" fontId="4" fillId="0" borderId="59" xfId="0" applyFont="1" applyBorder="1" applyAlignment="1">
      <alignment horizontal="right" vertical="center"/>
    </xf>
    <xf numFmtId="0" fontId="54" fillId="4" borderId="0" xfId="0" applyFont="1" applyFill="1" applyBorder="1" applyAlignment="1">
      <alignment horizontal="center" vertical="center"/>
    </xf>
    <xf numFmtId="3" fontId="48" fillId="4" borderId="0" xfId="0" applyNumberFormat="1" applyFont="1" applyFill="1" applyAlignment="1">
      <alignment horizontal="center"/>
    </xf>
    <xf numFmtId="0" fontId="5" fillId="0" borderId="16" xfId="0" applyFont="1" applyBorder="1" applyAlignment="1">
      <alignment horizontal="left" vertical="center"/>
    </xf>
    <xf numFmtId="0" fontId="5" fillId="0" borderId="1" xfId="0" applyFont="1" applyBorder="1" applyAlignment="1">
      <alignment horizontal="left" vertical="center" wrapText="1"/>
    </xf>
    <xf numFmtId="0" fontId="22" fillId="2" borderId="9" xfId="0" applyFont="1" applyFill="1" applyBorder="1" applyAlignment="1">
      <alignment horizontal="center" vertical="center" wrapText="1"/>
    </xf>
    <xf numFmtId="3" fontId="4" fillId="4" borderId="28" xfId="0" applyNumberFormat="1" applyFont="1" applyFill="1" applyBorder="1" applyAlignment="1">
      <alignment horizontal="center" vertical="center"/>
    </xf>
    <xf numFmtId="0" fontId="4" fillId="0" borderId="13" xfId="0" applyFont="1" applyBorder="1" applyAlignment="1">
      <alignment horizontal="center" vertical="center"/>
    </xf>
    <xf numFmtId="0" fontId="4" fillId="0" borderId="31" xfId="0" applyFont="1" applyBorder="1" applyAlignment="1">
      <alignment horizontal="center" vertical="center"/>
    </xf>
    <xf numFmtId="0" fontId="4" fillId="0" borderId="37" xfId="0" applyFont="1" applyBorder="1" applyAlignment="1">
      <alignment horizontal="center" vertical="center"/>
    </xf>
    <xf numFmtId="0" fontId="4" fillId="0" borderId="33" xfId="0" applyFont="1" applyBorder="1" applyAlignment="1">
      <alignment horizontal="center" vertical="center"/>
    </xf>
    <xf numFmtId="9" fontId="34" fillId="11" borderId="29" xfId="0" applyNumberFormat="1" applyFont="1" applyFill="1" applyBorder="1" applyAlignment="1">
      <alignment horizontal="center" vertical="center"/>
    </xf>
    <xf numFmtId="0" fontId="5" fillId="0" borderId="33" xfId="0" applyFont="1" applyBorder="1" applyAlignment="1">
      <alignment horizontal="right" vertical="center"/>
    </xf>
    <xf numFmtId="0" fontId="22" fillId="0" borderId="18" xfId="0" applyFont="1" applyBorder="1" applyAlignment="1">
      <alignment horizontal="right" vertical="center"/>
    </xf>
    <xf numFmtId="3" fontId="2" fillId="0" borderId="75" xfId="0" applyNumberFormat="1" applyFont="1" applyBorder="1" applyAlignment="1">
      <alignment horizontal="center" vertical="center"/>
    </xf>
    <xf numFmtId="0" fontId="5" fillId="0" borderId="39" xfId="0" applyFont="1" applyBorder="1" applyAlignment="1">
      <alignment horizontal="center" vertical="center"/>
    </xf>
    <xf numFmtId="3" fontId="5" fillId="0" borderId="33" xfId="0" applyNumberFormat="1" applyFont="1" applyBorder="1" applyAlignment="1">
      <alignment horizontal="center" vertical="center"/>
    </xf>
    <xf numFmtId="0" fontId="4" fillId="0" borderId="6" xfId="0" applyFont="1" applyBorder="1" applyAlignment="1">
      <alignment vertical="center"/>
    </xf>
    <xf numFmtId="0" fontId="4" fillId="0" borderId="14" xfId="0" applyFont="1" applyBorder="1" applyAlignment="1">
      <alignment horizontal="center" vertical="center"/>
    </xf>
    <xf numFmtId="0" fontId="38" fillId="0" borderId="38" xfId="0" applyFont="1" applyBorder="1" applyAlignment="1">
      <alignment vertical="center"/>
    </xf>
    <xf numFmtId="0" fontId="5" fillId="0" borderId="2" xfId="0" applyFont="1" applyBorder="1" applyAlignment="1">
      <alignment horizontal="left" vertical="center"/>
    </xf>
    <xf numFmtId="0" fontId="5" fillId="0" borderId="37" xfId="0" applyFont="1" applyBorder="1" applyAlignment="1">
      <alignment horizontal="center" vertical="center"/>
    </xf>
    <xf numFmtId="0" fontId="5" fillId="0" borderId="18" xfId="0" applyFont="1" applyBorder="1" applyAlignment="1">
      <alignment horizontal="center" vertical="center"/>
    </xf>
    <xf numFmtId="0" fontId="20" fillId="0" borderId="1" xfId="0" applyFont="1" applyBorder="1" applyAlignment="1">
      <alignment horizontal="left" vertical="center"/>
    </xf>
    <xf numFmtId="0" fontId="48" fillId="0" borderId="1" xfId="0" applyFont="1" applyBorder="1" applyAlignment="1">
      <alignment horizontal="left" vertical="center"/>
    </xf>
    <xf numFmtId="0" fontId="1" fillId="4" borderId="1" xfId="0" applyFont="1" applyFill="1" applyBorder="1" applyAlignment="1">
      <alignment vertical="center" wrapText="1"/>
    </xf>
    <xf numFmtId="0" fontId="48" fillId="4" borderId="2" xfId="0" applyFont="1" applyFill="1" applyBorder="1" applyAlignment="1">
      <alignment vertical="center" wrapText="1"/>
    </xf>
    <xf numFmtId="0" fontId="37" fillId="0" borderId="63" xfId="0" applyFont="1" applyBorder="1" applyAlignment="1">
      <alignment vertical="center"/>
    </xf>
    <xf numFmtId="3" fontId="4" fillId="0" borderId="33" xfId="0" applyNumberFormat="1" applyFont="1" applyBorder="1" applyAlignment="1">
      <alignment horizontal="center" vertical="center"/>
    </xf>
    <xf numFmtId="0" fontId="48" fillId="4" borderId="48" xfId="0" applyFont="1" applyFill="1" applyBorder="1" applyAlignment="1">
      <alignment vertical="center" wrapText="1"/>
    </xf>
    <xf numFmtId="3" fontId="4" fillId="0" borderId="43" xfId="0" applyNumberFormat="1" applyFont="1" applyBorder="1" applyAlignment="1">
      <alignment horizontal="center" vertical="center"/>
    </xf>
    <xf numFmtId="3" fontId="45" fillId="0" borderId="33" xfId="0" applyNumberFormat="1" applyFont="1" applyBorder="1" applyAlignment="1">
      <alignment horizontal="center" vertical="center"/>
    </xf>
    <xf numFmtId="3" fontId="45" fillId="4" borderId="33" xfId="0" applyNumberFormat="1" applyFont="1" applyFill="1" applyBorder="1" applyAlignment="1">
      <alignment horizontal="center" vertical="center"/>
    </xf>
    <xf numFmtId="0" fontId="51" fillId="0" borderId="39" xfId="0" applyFont="1" applyBorder="1" applyAlignment="1">
      <alignment horizontal="center" vertical="center"/>
    </xf>
    <xf numFmtId="9" fontId="46" fillId="0" borderId="33" xfId="0" applyNumberFormat="1" applyFont="1" applyBorder="1" applyAlignment="1">
      <alignment horizontal="center" vertical="center"/>
    </xf>
    <xf numFmtId="9" fontId="5" fillId="0" borderId="33" xfId="0" applyNumberFormat="1" applyFont="1" applyBorder="1" applyAlignment="1">
      <alignment horizontal="center" vertical="center"/>
    </xf>
    <xf numFmtId="3" fontId="46" fillId="4" borderId="33" xfId="0" applyNumberFormat="1" applyFont="1" applyFill="1" applyBorder="1" applyAlignment="1">
      <alignment horizontal="center" vertical="center"/>
    </xf>
    <xf numFmtId="3" fontId="46" fillId="3" borderId="18" xfId="0" applyNumberFormat="1" applyFont="1" applyFill="1" applyBorder="1" applyAlignment="1">
      <alignment horizontal="center" vertical="center"/>
    </xf>
    <xf numFmtId="0" fontId="5" fillId="0" borderId="33" xfId="0" applyFont="1" applyBorder="1" applyAlignment="1">
      <alignment horizontal="center"/>
    </xf>
    <xf numFmtId="3" fontId="46" fillId="0" borderId="33" xfId="0" applyNumberFormat="1" applyFont="1" applyBorder="1" applyAlignment="1">
      <alignment horizontal="center"/>
    </xf>
    <xf numFmtId="3" fontId="4" fillId="0" borderId="33" xfId="0" applyNumberFormat="1" applyFont="1" applyBorder="1" applyAlignment="1">
      <alignment horizontal="center"/>
    </xf>
    <xf numFmtId="0" fontId="48" fillId="0" borderId="61" xfId="0" applyFont="1" applyBorder="1"/>
    <xf numFmtId="0" fontId="38" fillId="4" borderId="61" xfId="0" applyFont="1" applyFill="1" applyBorder="1" applyAlignment="1">
      <alignment horizontal="center"/>
    </xf>
    <xf numFmtId="1" fontId="4" fillId="4" borderId="60" xfId="0" applyNumberFormat="1" applyFont="1" applyFill="1" applyBorder="1" applyAlignment="1">
      <alignment horizontal="center"/>
    </xf>
    <xf numFmtId="1" fontId="4" fillId="4" borderId="56" xfId="0" applyNumberFormat="1" applyFont="1" applyFill="1" applyBorder="1" applyAlignment="1">
      <alignment horizontal="center"/>
    </xf>
    <xf numFmtId="0" fontId="5" fillId="4" borderId="37" xfId="0" applyFont="1" applyFill="1" applyBorder="1" applyAlignment="1">
      <alignment horizontal="center" vertical="center"/>
    </xf>
    <xf numFmtId="3" fontId="38" fillId="4" borderId="37" xfId="0" applyNumberFormat="1" applyFont="1" applyFill="1" applyBorder="1" applyAlignment="1">
      <alignment horizontal="center" vertical="center"/>
    </xf>
    <xf numFmtId="3" fontId="48" fillId="4" borderId="43" xfId="0" applyNumberFormat="1" applyFont="1" applyFill="1" applyBorder="1" applyAlignment="1"/>
    <xf numFmtId="3" fontId="22" fillId="0" borderId="43" xfId="0" applyNumberFormat="1" applyFont="1" applyBorder="1" applyAlignment="1">
      <alignment horizontal="center"/>
    </xf>
    <xf numFmtId="3" fontId="4" fillId="0" borderId="43" xfId="0" applyNumberFormat="1" applyFont="1" applyBorder="1" applyAlignment="1">
      <alignment horizontal="center"/>
    </xf>
    <xf numFmtId="3" fontId="22" fillId="0" borderId="39" xfId="0" applyNumberFormat="1" applyFont="1" applyBorder="1" applyAlignment="1">
      <alignment horizontal="center"/>
    </xf>
    <xf numFmtId="3" fontId="22" fillId="4" borderId="43" xfId="0" applyNumberFormat="1" applyFont="1" applyFill="1" applyBorder="1" applyAlignment="1">
      <alignment horizontal="center"/>
    </xf>
    <xf numFmtId="0" fontId="4" fillId="0" borderId="43" xfId="0" applyFont="1" applyBorder="1" applyAlignment="1">
      <alignment horizontal="center"/>
    </xf>
    <xf numFmtId="3" fontId="20" fillId="4" borderId="33" xfId="0" applyNumberFormat="1" applyFont="1" applyFill="1" applyBorder="1" applyAlignment="1">
      <alignment horizontal="center"/>
    </xf>
    <xf numFmtId="3" fontId="46" fillId="4" borderId="33" xfId="0" applyNumberFormat="1" applyFont="1" applyFill="1" applyBorder="1" applyAlignment="1">
      <alignment horizontal="center"/>
    </xf>
    <xf numFmtId="3" fontId="22" fillId="0" borderId="41" xfId="0" applyNumberFormat="1" applyFont="1" applyBorder="1" applyAlignment="1">
      <alignment horizontal="center"/>
    </xf>
    <xf numFmtId="3" fontId="22" fillId="0" borderId="33" xfId="0" applyNumberFormat="1" applyFont="1" applyBorder="1" applyAlignment="1">
      <alignment horizontal="center"/>
    </xf>
    <xf numFmtId="0" fontId="20" fillId="0" borderId="1" xfId="0" applyFont="1" applyBorder="1" applyAlignment="1">
      <alignment horizontal="left"/>
    </xf>
    <xf numFmtId="3" fontId="22" fillId="0" borderId="33" xfId="0" applyNumberFormat="1" applyFont="1" applyBorder="1" applyAlignment="1">
      <alignment horizontal="center" vertical="center"/>
    </xf>
    <xf numFmtId="0" fontId="5" fillId="0" borderId="1" xfId="0" applyFont="1" applyBorder="1" applyAlignment="1">
      <alignment horizontal="left" wrapText="1"/>
    </xf>
    <xf numFmtId="0" fontId="5" fillId="0" borderId="1" xfId="0" applyFont="1" applyBorder="1" applyAlignment="1"/>
    <xf numFmtId="3" fontId="45" fillId="4" borderId="33" xfId="0" applyNumberFormat="1" applyFont="1" applyFill="1" applyBorder="1" applyAlignment="1">
      <alignment horizontal="center"/>
    </xf>
    <xf numFmtId="3" fontId="22" fillId="4" borderId="22" xfId="0" applyNumberFormat="1" applyFont="1" applyFill="1" applyBorder="1" applyAlignment="1">
      <alignment horizontal="center" vertical="center"/>
    </xf>
    <xf numFmtId="3" fontId="22" fillId="4" borderId="33" xfId="0" applyNumberFormat="1" applyFont="1" applyFill="1" applyBorder="1" applyAlignment="1">
      <alignment horizontal="center" vertical="center"/>
    </xf>
    <xf numFmtId="0" fontId="23" fillId="4" borderId="37" xfId="0" applyFont="1" applyFill="1" applyBorder="1" applyAlignment="1">
      <alignment vertical="center" wrapText="1"/>
    </xf>
    <xf numFmtId="3" fontId="22" fillId="4" borderId="37" xfId="0" applyNumberFormat="1" applyFont="1" applyFill="1" applyBorder="1" applyAlignment="1">
      <alignment horizontal="center" vertical="center"/>
    </xf>
    <xf numFmtId="3" fontId="22" fillId="4" borderId="18" xfId="0" applyNumberFormat="1" applyFont="1" applyFill="1" applyBorder="1" applyAlignment="1">
      <alignment horizontal="center" vertical="center"/>
    </xf>
    <xf numFmtId="0" fontId="22" fillId="0" borderId="28" xfId="0" applyFont="1" applyFill="1" applyBorder="1" applyAlignment="1">
      <alignment horizontal="center"/>
    </xf>
    <xf numFmtId="4" fontId="20" fillId="4" borderId="28" xfId="0" applyNumberFormat="1" applyFont="1" applyFill="1" applyBorder="1" applyAlignment="1">
      <alignment horizontal="center"/>
    </xf>
    <xf numFmtId="0" fontId="20" fillId="0" borderId="2" xfId="0" applyFont="1" applyBorder="1" applyAlignment="1">
      <alignment horizontal="left"/>
    </xf>
    <xf numFmtId="0" fontId="22" fillId="0" borderId="37" xfId="0" applyFont="1" applyFill="1" applyBorder="1" applyAlignment="1">
      <alignment horizontal="center"/>
    </xf>
    <xf numFmtId="4" fontId="20" fillId="4" borderId="37" xfId="0" applyNumberFormat="1" applyFont="1" applyFill="1" applyBorder="1" applyAlignment="1">
      <alignment horizontal="center"/>
    </xf>
    <xf numFmtId="4" fontId="46" fillId="4" borderId="37" xfId="0" applyNumberFormat="1" applyFont="1" applyFill="1" applyBorder="1" applyAlignment="1">
      <alignment horizontal="center"/>
    </xf>
    <xf numFmtId="0" fontId="22" fillId="0" borderId="43" xfId="0" applyFont="1" applyFill="1" applyBorder="1" applyAlignment="1">
      <alignment horizontal="center"/>
    </xf>
    <xf numFmtId="3" fontId="45" fillId="4" borderId="43" xfId="0" applyNumberFormat="1" applyFont="1" applyFill="1" applyBorder="1" applyAlignment="1">
      <alignment horizontal="center"/>
    </xf>
    <xf numFmtId="3" fontId="4" fillId="4" borderId="14" xfId="0" applyNumberFormat="1" applyFont="1" applyFill="1" applyBorder="1" applyAlignment="1">
      <alignment horizontal="center"/>
    </xf>
    <xf numFmtId="4" fontId="22" fillId="4" borderId="33" xfId="0" applyNumberFormat="1" applyFont="1" applyFill="1" applyBorder="1" applyAlignment="1">
      <alignment horizontal="center"/>
    </xf>
    <xf numFmtId="3" fontId="38" fillId="4" borderId="33" xfId="0" applyNumberFormat="1" applyFont="1" applyFill="1" applyBorder="1" applyAlignment="1">
      <alignment horizontal="center"/>
    </xf>
    <xf numFmtId="3" fontId="4" fillId="4" borderId="41" xfId="0" applyNumberFormat="1" applyFont="1" applyFill="1" applyBorder="1" applyAlignment="1">
      <alignment horizontal="center"/>
    </xf>
    <xf numFmtId="4" fontId="4" fillId="4" borderId="26" xfId="0" applyNumberFormat="1" applyFont="1" applyFill="1" applyBorder="1" applyAlignment="1">
      <alignment horizontal="right"/>
    </xf>
    <xf numFmtId="4" fontId="4" fillId="4" borderId="13" xfId="0" applyNumberFormat="1" applyFont="1" applyFill="1" applyBorder="1" applyAlignment="1">
      <alignment horizontal="center"/>
    </xf>
    <xf numFmtId="4" fontId="4" fillId="4" borderId="14" xfId="0" applyNumberFormat="1" applyFont="1" applyFill="1" applyBorder="1" applyAlignment="1">
      <alignment horizontal="center"/>
    </xf>
    <xf numFmtId="4" fontId="4" fillId="4" borderId="13" xfId="0" applyNumberFormat="1" applyFont="1" applyFill="1" applyBorder="1" applyAlignment="1">
      <alignment horizontal="center" vertical="center"/>
    </xf>
    <xf numFmtId="3" fontId="4" fillId="4" borderId="13" xfId="0" applyNumberFormat="1" applyFont="1" applyFill="1" applyBorder="1" applyAlignment="1">
      <alignment horizontal="center" vertical="center"/>
    </xf>
    <xf numFmtId="4" fontId="4" fillId="4" borderId="14" xfId="0" applyNumberFormat="1" applyFont="1" applyFill="1" applyBorder="1" applyAlignment="1">
      <alignment horizontal="center" vertical="center"/>
    </xf>
    <xf numFmtId="4" fontId="4" fillId="4" borderId="16" xfId="0" applyNumberFormat="1" applyFont="1" applyFill="1" applyBorder="1" applyAlignment="1">
      <alignment vertical="center" wrapText="1"/>
    </xf>
    <xf numFmtId="4" fontId="4" fillId="4" borderId="27" xfId="0" applyNumberFormat="1" applyFont="1" applyFill="1" applyBorder="1" applyAlignment="1">
      <alignment vertical="center" wrapText="1"/>
    </xf>
    <xf numFmtId="4" fontId="4" fillId="4" borderId="30" xfId="0" applyNumberFormat="1" applyFont="1" applyFill="1" applyBorder="1" applyAlignment="1">
      <alignment horizontal="right" vertical="center" wrapText="1"/>
    </xf>
    <xf numFmtId="167" fontId="4" fillId="4" borderId="75" xfId="0" applyNumberFormat="1" applyFont="1" applyFill="1" applyBorder="1" applyAlignment="1">
      <alignment horizontal="center" vertical="center"/>
    </xf>
    <xf numFmtId="4" fontId="4" fillId="4" borderId="72" xfId="0" applyNumberFormat="1" applyFont="1" applyFill="1" applyBorder="1" applyAlignment="1">
      <alignment vertical="center" wrapText="1"/>
    </xf>
    <xf numFmtId="167" fontId="4" fillId="4" borderId="20" xfId="0" applyNumberFormat="1" applyFont="1" applyFill="1" applyBorder="1" applyAlignment="1">
      <alignment horizontal="center"/>
    </xf>
    <xf numFmtId="1" fontId="4" fillId="4" borderId="53" xfId="0" applyNumberFormat="1" applyFont="1" applyFill="1" applyBorder="1" applyAlignment="1">
      <alignment horizontal="center"/>
    </xf>
    <xf numFmtId="1" fontId="4" fillId="4" borderId="54" xfId="0" applyNumberFormat="1" applyFont="1" applyFill="1" applyBorder="1" applyAlignment="1">
      <alignment horizontal="center"/>
    </xf>
    <xf numFmtId="167" fontId="4" fillId="4" borderId="42" xfId="0" applyNumberFormat="1" applyFont="1" applyFill="1" applyBorder="1" applyAlignment="1">
      <alignment horizontal="center"/>
    </xf>
    <xf numFmtId="3" fontId="4" fillId="4" borderId="15" xfId="0" applyNumberFormat="1" applyFont="1" applyFill="1" applyBorder="1" applyAlignment="1">
      <alignment horizontal="center"/>
    </xf>
    <xf numFmtId="3" fontId="4" fillId="4" borderId="64" xfId="0" applyNumberFormat="1" applyFont="1" applyFill="1" applyBorder="1" applyAlignment="1">
      <alignment horizontal="center" shrinkToFit="1"/>
    </xf>
    <xf numFmtId="3" fontId="4" fillId="4" borderId="49" xfId="0" applyNumberFormat="1" applyFont="1" applyFill="1" applyBorder="1" applyAlignment="1">
      <alignment horizontal="center" shrinkToFit="1"/>
    </xf>
    <xf numFmtId="3" fontId="4" fillId="4" borderId="43" xfId="0" applyNumberFormat="1" applyFont="1" applyFill="1" applyBorder="1" applyAlignment="1">
      <alignment horizontal="center" shrinkToFit="1"/>
    </xf>
    <xf numFmtId="3" fontId="4" fillId="4" borderId="39" xfId="0" applyNumberFormat="1" applyFont="1" applyFill="1" applyBorder="1" applyAlignment="1">
      <alignment horizontal="center" shrinkToFit="1"/>
    </xf>
    <xf numFmtId="3" fontId="4" fillId="4" borderId="70" xfId="0" applyNumberFormat="1" applyFont="1" applyFill="1" applyBorder="1" applyAlignment="1">
      <alignment shrinkToFit="1"/>
    </xf>
    <xf numFmtId="3" fontId="4" fillId="4" borderId="64" xfId="0" applyNumberFormat="1" applyFont="1" applyFill="1" applyBorder="1" applyAlignment="1">
      <alignment shrinkToFit="1"/>
    </xf>
    <xf numFmtId="3" fontId="4" fillId="4" borderId="49" xfId="0" applyNumberFormat="1" applyFont="1" applyFill="1" applyBorder="1" applyAlignment="1">
      <alignment shrinkToFit="1"/>
    </xf>
    <xf numFmtId="3" fontId="4" fillId="4" borderId="31" xfId="0" applyNumberFormat="1" applyFont="1" applyFill="1" applyBorder="1" applyAlignment="1">
      <alignment horizontal="center" vertical="center" shrinkToFit="1"/>
    </xf>
    <xf numFmtId="3" fontId="4" fillId="4" borderId="28" xfId="0" applyNumberFormat="1" applyFont="1" applyFill="1" applyBorder="1" applyAlignment="1">
      <alignment horizontal="center" vertical="center" shrinkToFit="1"/>
    </xf>
    <xf numFmtId="3" fontId="4" fillId="4" borderId="28" xfId="0" applyNumberFormat="1" applyFont="1" applyFill="1" applyBorder="1" applyAlignment="1">
      <alignment horizontal="center" shrinkToFit="1"/>
    </xf>
    <xf numFmtId="3" fontId="4" fillId="4" borderId="22" xfId="0" applyNumberFormat="1" applyFont="1" applyFill="1" applyBorder="1" applyAlignment="1">
      <alignment horizontal="center" shrinkToFit="1"/>
    </xf>
    <xf numFmtId="3" fontId="4" fillId="4" borderId="65" xfId="0" applyNumberFormat="1" applyFont="1" applyFill="1" applyBorder="1" applyAlignment="1">
      <alignment shrinkToFit="1"/>
    </xf>
    <xf numFmtId="3" fontId="4" fillId="4" borderId="23" xfId="0" applyNumberFormat="1" applyFont="1" applyFill="1" applyBorder="1" applyAlignment="1">
      <alignment shrinkToFit="1"/>
    </xf>
    <xf numFmtId="3" fontId="4" fillId="4" borderId="15" xfId="0" applyNumberFormat="1" applyFont="1" applyFill="1" applyBorder="1" applyAlignment="1">
      <alignment shrinkToFit="1"/>
    </xf>
    <xf numFmtId="3" fontId="4" fillId="4" borderId="37" xfId="0" applyNumberFormat="1" applyFont="1" applyFill="1" applyBorder="1" applyAlignment="1">
      <alignment horizontal="center" vertical="center" shrinkToFit="1"/>
    </xf>
    <xf numFmtId="3" fontId="45" fillId="4" borderId="18" xfId="0" applyNumberFormat="1" applyFont="1" applyFill="1" applyBorder="1" applyAlignment="1">
      <alignment horizontal="center" vertical="center" shrinkToFit="1"/>
    </xf>
    <xf numFmtId="3" fontId="4" fillId="4" borderId="68" xfId="0" applyNumberFormat="1" applyFont="1" applyFill="1" applyBorder="1" applyAlignment="1">
      <alignment shrinkToFit="1"/>
    </xf>
    <xf numFmtId="3" fontId="4" fillId="4" borderId="46" xfId="0" applyNumberFormat="1" applyFont="1" applyFill="1" applyBorder="1" applyAlignment="1">
      <alignment shrinkToFit="1"/>
    </xf>
    <xf numFmtId="3" fontId="4" fillId="4" borderId="34" xfId="0" applyNumberFormat="1" applyFont="1" applyFill="1" applyBorder="1" applyAlignment="1">
      <alignment shrinkToFit="1"/>
    </xf>
    <xf numFmtId="3" fontId="4" fillId="4" borderId="31" xfId="0" applyNumberFormat="1" applyFont="1" applyFill="1" applyBorder="1" applyAlignment="1">
      <alignment horizontal="center" shrinkToFit="1"/>
    </xf>
    <xf numFmtId="3" fontId="4" fillId="4" borderId="33" xfId="0" applyNumberFormat="1" applyFont="1" applyFill="1" applyBorder="1" applyAlignment="1">
      <alignment horizontal="center" shrinkToFit="1"/>
    </xf>
    <xf numFmtId="3" fontId="45" fillId="4" borderId="37" xfId="0" applyNumberFormat="1" applyFont="1" applyFill="1" applyBorder="1" applyAlignment="1">
      <alignment horizontal="center" vertical="center" shrinkToFit="1"/>
    </xf>
    <xf numFmtId="3" fontId="58" fillId="4" borderId="37" xfId="0" applyNumberFormat="1" applyFont="1" applyFill="1" applyBorder="1" applyAlignment="1">
      <alignment horizontal="center" vertical="center" shrinkToFit="1"/>
    </xf>
    <xf numFmtId="3" fontId="4" fillId="4" borderId="18" xfId="0" applyNumberFormat="1" applyFont="1" applyFill="1" applyBorder="1" applyAlignment="1">
      <alignment horizontal="center" vertical="center" shrinkToFit="1"/>
    </xf>
    <xf numFmtId="0" fontId="18" fillId="4" borderId="0" xfId="0" applyFont="1" applyFill="1" applyBorder="1" applyAlignment="1">
      <alignment horizontal="center" vertical="center"/>
    </xf>
    <xf numFmtId="0" fontId="4" fillId="0" borderId="63" xfId="0" applyFont="1" applyBorder="1" applyAlignment="1">
      <alignment horizontal="left" vertical="center" wrapText="1"/>
    </xf>
    <xf numFmtId="9" fontId="22" fillId="4" borderId="24" xfId="2" applyNumberFormat="1" applyFont="1" applyFill="1" applyBorder="1" applyAlignment="1">
      <alignment horizontal="center" vertical="center"/>
    </xf>
    <xf numFmtId="0" fontId="22" fillId="0" borderId="24" xfId="0" applyFont="1" applyFill="1" applyBorder="1" applyAlignment="1">
      <alignment horizontal="center" vertical="center"/>
    </xf>
    <xf numFmtId="0" fontId="4" fillId="0" borderId="24" xfId="0" applyFont="1" applyBorder="1" applyAlignment="1">
      <alignment horizontal="right" vertical="center"/>
    </xf>
    <xf numFmtId="9" fontId="22" fillId="4" borderId="29" xfId="2" applyNumberFormat="1" applyFont="1" applyFill="1" applyBorder="1" applyAlignment="1">
      <alignment horizontal="center" vertical="center"/>
    </xf>
    <xf numFmtId="0" fontId="5" fillId="0" borderId="29" xfId="0" applyFont="1" applyBorder="1" applyAlignment="1">
      <alignment horizontal="right" vertical="center"/>
    </xf>
    <xf numFmtId="9" fontId="4" fillId="11" borderId="29" xfId="2" applyNumberFormat="1" applyFont="1" applyFill="1" applyBorder="1" applyAlignment="1">
      <alignment horizontal="center" vertical="center"/>
    </xf>
    <xf numFmtId="0" fontId="4" fillId="0" borderId="29" xfId="0" applyFont="1" applyBorder="1" applyAlignment="1">
      <alignment horizontal="center" vertical="center"/>
    </xf>
    <xf numFmtId="9" fontId="4" fillId="4" borderId="29" xfId="2" applyNumberFormat="1" applyFont="1" applyFill="1" applyBorder="1" applyAlignment="1">
      <alignment horizontal="center" vertical="center"/>
    </xf>
    <xf numFmtId="9" fontId="4" fillId="4" borderId="29" xfId="2" applyNumberFormat="1" applyFont="1" applyFill="1" applyBorder="1" applyAlignment="1">
      <alignment horizontal="center" vertical="top"/>
    </xf>
    <xf numFmtId="9" fontId="22" fillId="4" borderId="29" xfId="2" applyNumberFormat="1" applyFont="1" applyFill="1" applyBorder="1" applyAlignment="1">
      <alignment horizontal="center" vertical="top"/>
    </xf>
    <xf numFmtId="0" fontId="4" fillId="0" borderId="16" xfId="0" applyFont="1" applyBorder="1" applyAlignment="1">
      <alignment horizontal="left" vertical="center" wrapText="1"/>
    </xf>
    <xf numFmtId="9" fontId="4" fillId="11" borderId="59" xfId="2" applyNumberFormat="1" applyFont="1" applyFill="1" applyBorder="1" applyAlignment="1">
      <alignment horizontal="center" vertical="center"/>
    </xf>
    <xf numFmtId="0" fontId="22" fillId="0" borderId="59" xfId="0" applyFont="1" applyFill="1" applyBorder="1" applyAlignment="1">
      <alignment horizontal="center" vertical="center"/>
    </xf>
    <xf numFmtId="0" fontId="4" fillId="0" borderId="59" xfId="0" applyFont="1" applyBorder="1" applyAlignment="1">
      <alignment horizontal="center" vertical="center"/>
    </xf>
    <xf numFmtId="0" fontId="23" fillId="0" borderId="63" xfId="0" applyFont="1" applyBorder="1" applyAlignment="1">
      <alignment vertical="center"/>
    </xf>
    <xf numFmtId="167" fontId="23" fillId="4" borderId="24" xfId="2" applyNumberFormat="1" applyFont="1" applyFill="1" applyBorder="1" applyAlignment="1">
      <alignment horizontal="center" vertical="center"/>
    </xf>
    <xf numFmtId="167" fontId="23" fillId="0" borderId="56" xfId="2" applyNumberFormat="1" applyFont="1" applyBorder="1" applyAlignment="1">
      <alignment horizontal="center" vertical="center"/>
    </xf>
    <xf numFmtId="168" fontId="22" fillId="0" borderId="56" xfId="1" applyNumberFormat="1" applyFont="1" applyBorder="1" applyAlignment="1">
      <alignment horizontal="right" vertical="center"/>
    </xf>
    <xf numFmtId="0" fontId="23" fillId="0" borderId="24" xfId="0" applyFont="1" applyFill="1" applyBorder="1" applyAlignment="1">
      <alignment horizontal="center" vertical="center"/>
    </xf>
    <xf numFmtId="3" fontId="22" fillId="0" borderId="24" xfId="0" applyNumberFormat="1" applyFont="1" applyBorder="1" applyAlignment="1">
      <alignment horizontal="right" vertical="center"/>
    </xf>
    <xf numFmtId="0" fontId="23" fillId="0" borderId="48" xfId="0" applyFont="1" applyBorder="1" applyAlignment="1">
      <alignment vertical="center"/>
    </xf>
    <xf numFmtId="167" fontId="23" fillId="4" borderId="29" xfId="2" applyNumberFormat="1" applyFont="1" applyFill="1" applyBorder="1" applyAlignment="1">
      <alignment horizontal="center" vertical="center"/>
    </xf>
    <xf numFmtId="168" fontId="22" fillId="0" borderId="58" xfId="1" applyNumberFormat="1" applyFont="1" applyBorder="1" applyAlignment="1">
      <alignment horizontal="right" vertical="center"/>
    </xf>
    <xf numFmtId="3" fontId="22" fillId="0" borderId="29" xfId="0" applyNumberFormat="1" applyFont="1" applyBorder="1" applyAlignment="1">
      <alignment horizontal="right" vertical="center"/>
    </xf>
    <xf numFmtId="0" fontId="4" fillId="0" borderId="48" xfId="0" applyFont="1" applyBorder="1" applyAlignment="1">
      <alignment horizontal="left" vertical="center"/>
    </xf>
    <xf numFmtId="167" fontId="22" fillId="4" borderId="29" xfId="2" applyNumberFormat="1" applyFont="1" applyFill="1" applyBorder="1" applyAlignment="1">
      <alignment horizontal="center" vertical="center"/>
    </xf>
    <xf numFmtId="168" fontId="22" fillId="11" borderId="58" xfId="1" applyNumberFormat="1" applyFont="1" applyFill="1" applyBorder="1" applyAlignment="1">
      <alignment horizontal="right" vertical="center"/>
    </xf>
    <xf numFmtId="168" fontId="22" fillId="4" borderId="58" xfId="1" applyNumberFormat="1" applyFont="1" applyFill="1" applyBorder="1" applyAlignment="1">
      <alignment horizontal="right" vertical="center"/>
    </xf>
    <xf numFmtId="3" fontId="4" fillId="0" borderId="29" xfId="0" applyNumberFormat="1" applyFont="1" applyBorder="1" applyAlignment="1">
      <alignment horizontal="right" vertical="center"/>
    </xf>
    <xf numFmtId="0" fontId="5" fillId="0" borderId="48" xfId="0" applyFont="1" applyBorder="1" applyAlignment="1">
      <alignment horizontal="right" vertical="center"/>
    </xf>
    <xf numFmtId="167" fontId="22" fillId="11" borderId="29" xfId="2" applyNumberFormat="1" applyFont="1" applyFill="1" applyBorder="1" applyAlignment="1">
      <alignment horizontal="center" vertical="center"/>
    </xf>
    <xf numFmtId="167" fontId="26" fillId="4" borderId="29" xfId="2" applyNumberFormat="1" applyFont="1" applyFill="1" applyBorder="1" applyAlignment="1">
      <alignment horizontal="center" vertical="center"/>
    </xf>
    <xf numFmtId="0" fontId="4" fillId="0" borderId="48" xfId="0" applyFont="1" applyFill="1" applyBorder="1" applyAlignment="1">
      <alignment horizontal="left" vertical="center"/>
    </xf>
    <xf numFmtId="167" fontId="22" fillId="4" borderId="58" xfId="2" applyNumberFormat="1" applyFont="1" applyFill="1" applyBorder="1" applyAlignment="1">
      <alignment horizontal="center" vertical="center"/>
    </xf>
    <xf numFmtId="169" fontId="22" fillId="11" borderId="58" xfId="1" applyNumberFormat="1" applyFont="1" applyFill="1" applyBorder="1" applyAlignment="1">
      <alignment horizontal="right" vertical="center"/>
    </xf>
    <xf numFmtId="167" fontId="23" fillId="0" borderId="72" xfId="2" applyNumberFormat="1" applyFont="1" applyBorder="1" applyAlignment="1">
      <alignment horizontal="center" vertical="center"/>
    </xf>
    <xf numFmtId="168" fontId="22" fillId="0" borderId="72" xfId="1" applyNumberFormat="1" applyFont="1" applyBorder="1" applyAlignment="1">
      <alignment horizontal="right" vertical="center"/>
    </xf>
    <xf numFmtId="3" fontId="4" fillId="0" borderId="59" xfId="0" applyNumberFormat="1" applyFont="1" applyBorder="1" applyAlignment="1">
      <alignment horizontal="right" vertical="center"/>
    </xf>
    <xf numFmtId="0" fontId="4" fillId="0" borderId="63" xfId="0" applyFont="1" applyBorder="1" applyAlignment="1">
      <alignment horizontal="left" vertical="center"/>
    </xf>
    <xf numFmtId="0" fontId="23" fillId="4" borderId="24" xfId="0" applyFont="1" applyFill="1" applyBorder="1" applyAlignment="1">
      <alignment horizontal="center" vertical="center"/>
    </xf>
    <xf numFmtId="0" fontId="5" fillId="0" borderId="29" xfId="0" applyFont="1" applyBorder="1" applyAlignment="1">
      <alignment vertical="center" wrapText="1"/>
    </xf>
    <xf numFmtId="0" fontId="23" fillId="4" borderId="29" xfId="0" applyFont="1" applyFill="1" applyBorder="1" applyAlignment="1">
      <alignment horizontal="center" vertical="center"/>
    </xf>
    <xf numFmtId="0" fontId="5" fillId="4" borderId="29" xfId="0" applyFont="1" applyFill="1" applyBorder="1" applyAlignment="1">
      <alignment horizontal="left" vertical="center" wrapText="1"/>
    </xf>
    <xf numFmtId="0" fontId="20" fillId="4" borderId="48" xfId="0" applyFont="1" applyFill="1" applyBorder="1" applyAlignment="1">
      <alignment horizontal="left" vertical="center" wrapText="1"/>
    </xf>
    <xf numFmtId="0" fontId="22" fillId="0" borderId="48" xfId="0" applyFont="1" applyFill="1" applyBorder="1" applyAlignment="1">
      <alignment horizontal="right" vertical="center" wrapText="1"/>
    </xf>
    <xf numFmtId="0" fontId="20" fillId="0" borderId="48" xfId="0" applyFont="1" applyBorder="1" applyAlignment="1">
      <alignment horizontal="left" vertical="center"/>
    </xf>
    <xf numFmtId="0" fontId="22" fillId="4" borderId="29" xfId="0" applyFont="1" applyFill="1" applyBorder="1" applyAlignment="1">
      <alignment horizontal="center" vertical="center"/>
    </xf>
    <xf numFmtId="0" fontId="20" fillId="0" borderId="16" xfId="0" applyFont="1" applyBorder="1" applyAlignment="1">
      <alignment horizontal="left" vertical="center"/>
    </xf>
    <xf numFmtId="0" fontId="23" fillId="0" borderId="59" xfId="0" applyFont="1" applyBorder="1" applyAlignment="1">
      <alignment horizontal="center" vertical="center"/>
    </xf>
    <xf numFmtId="168" fontId="22" fillId="0" borderId="24" xfId="1" applyNumberFormat="1" applyFont="1" applyBorder="1" applyAlignment="1">
      <alignment horizontal="right" vertical="center"/>
    </xf>
    <xf numFmtId="168" fontId="22" fillId="0" borderId="29" xfId="1" applyNumberFormat="1" applyFont="1" applyBorder="1" applyAlignment="1">
      <alignment horizontal="right" vertical="center"/>
    </xf>
    <xf numFmtId="0" fontId="22" fillId="0" borderId="19" xfId="0" applyFont="1" applyFill="1" applyBorder="1" applyAlignment="1">
      <alignment horizontal="center" vertical="center"/>
    </xf>
    <xf numFmtId="3" fontId="4" fillId="0" borderId="56" xfId="0" applyNumberFormat="1" applyFont="1" applyBorder="1" applyAlignment="1">
      <alignment horizontal="right" vertical="center"/>
    </xf>
    <xf numFmtId="3" fontId="22" fillId="0" borderId="58" xfId="0" applyNumberFormat="1" applyFont="1" applyBorder="1" applyAlignment="1">
      <alignment horizontal="right" vertical="center"/>
    </xf>
    <xf numFmtId="3" fontId="5" fillId="4" borderId="30" xfId="0" applyNumberFormat="1" applyFont="1" applyFill="1" applyBorder="1" applyAlignment="1">
      <alignment horizontal="right" vertical="center"/>
    </xf>
    <xf numFmtId="3" fontId="32" fillId="4" borderId="30" xfId="0" applyNumberFormat="1" applyFont="1" applyFill="1" applyBorder="1" applyAlignment="1">
      <alignment horizontal="right" vertical="center"/>
    </xf>
    <xf numFmtId="3" fontId="22" fillId="0" borderId="30" xfId="0" applyNumberFormat="1" applyFont="1" applyBorder="1" applyAlignment="1">
      <alignment horizontal="right" vertical="center"/>
    </xf>
    <xf numFmtId="3" fontId="22" fillId="0" borderId="72" xfId="0" applyNumberFormat="1" applyFont="1" applyBorder="1" applyAlignment="1">
      <alignment horizontal="right" vertical="center"/>
    </xf>
    <xf numFmtId="0" fontId="5" fillId="0" borderId="18" xfId="0" applyFont="1" applyBorder="1" applyAlignment="1">
      <alignment horizontal="right" vertical="center"/>
    </xf>
    <xf numFmtId="167" fontId="22" fillId="4" borderId="24" xfId="0" applyNumberFormat="1" applyFont="1" applyFill="1" applyBorder="1" applyAlignment="1">
      <alignment horizontal="center" vertical="center"/>
    </xf>
    <xf numFmtId="167" fontId="22" fillId="11" borderId="29" xfId="0" applyNumberFormat="1" applyFont="1" applyFill="1" applyBorder="1" applyAlignment="1">
      <alignment horizontal="center" vertical="center"/>
    </xf>
    <xf numFmtId="0" fontId="22" fillId="11" borderId="29" xfId="0" applyFont="1" applyFill="1" applyBorder="1" applyAlignment="1">
      <alignment horizontal="center" vertical="center"/>
    </xf>
    <xf numFmtId="0" fontId="24" fillId="3" borderId="48" xfId="0" applyFont="1" applyFill="1" applyBorder="1" applyAlignment="1">
      <alignment vertical="center"/>
    </xf>
    <xf numFmtId="0" fontId="1" fillId="3" borderId="48" xfId="0" applyFont="1" applyFill="1" applyBorder="1" applyAlignment="1">
      <alignment vertical="center"/>
    </xf>
    <xf numFmtId="0" fontId="20" fillId="0" borderId="16" xfId="0" applyFont="1" applyBorder="1" applyAlignment="1">
      <alignment vertical="center"/>
    </xf>
    <xf numFmtId="0" fontId="13" fillId="0" borderId="24" xfId="0" applyFont="1" applyBorder="1" applyAlignment="1">
      <alignment horizontal="center" vertical="center" wrapText="1"/>
    </xf>
    <xf numFmtId="167" fontId="22" fillId="4" borderId="29" xfId="0" applyNumberFormat="1" applyFont="1" applyFill="1" applyBorder="1" applyAlignment="1">
      <alignment horizontal="center" vertical="center"/>
    </xf>
    <xf numFmtId="0" fontId="13" fillId="0" borderId="29" xfId="0" applyFont="1" applyBorder="1" applyAlignment="1">
      <alignment horizontal="center" vertical="center" wrapText="1"/>
    </xf>
    <xf numFmtId="168" fontId="22" fillId="0" borderId="58" xfId="1" applyNumberFormat="1" applyFont="1" applyFill="1" applyBorder="1" applyAlignment="1">
      <alignment horizontal="right" vertical="center" wrapText="1"/>
    </xf>
    <xf numFmtId="0" fontId="22" fillId="0" borderId="25" xfId="0" applyFont="1" applyFill="1" applyBorder="1" applyAlignment="1">
      <alignment horizontal="center" vertical="center"/>
    </xf>
    <xf numFmtId="0" fontId="22" fillId="0" borderId="29" xfId="0" applyFont="1" applyBorder="1" applyAlignment="1">
      <alignment horizontal="center" vertical="center" wrapText="1"/>
    </xf>
    <xf numFmtId="0" fontId="17" fillId="2" borderId="10" xfId="0" applyFont="1" applyFill="1" applyBorder="1" applyAlignment="1">
      <alignment horizontal="center" vertical="center"/>
    </xf>
    <xf numFmtId="0" fontId="20" fillId="0" borderId="56" xfId="0" applyFont="1" applyBorder="1" applyAlignment="1">
      <alignment horizontal="right" vertical="center"/>
    </xf>
    <xf numFmtId="0" fontId="22" fillId="0" borderId="58" xfId="0" applyFont="1" applyBorder="1" applyAlignment="1">
      <alignment horizontal="right" vertical="center"/>
    </xf>
    <xf numFmtId="0" fontId="22" fillId="0" borderId="72" xfId="0" applyFont="1" applyBorder="1" applyAlignment="1">
      <alignment horizontal="right" vertical="center"/>
    </xf>
    <xf numFmtId="4" fontId="4" fillId="0" borderId="39" xfId="0" applyNumberFormat="1" applyFont="1" applyBorder="1" applyAlignment="1">
      <alignment horizontal="right" vertical="center"/>
    </xf>
    <xf numFmtId="4" fontId="5" fillId="0" borderId="33" xfId="0" applyNumberFormat="1" applyFont="1" applyBorder="1" applyAlignment="1">
      <alignment horizontal="right" vertical="center"/>
    </xf>
    <xf numFmtId="168" fontId="4" fillId="0" borderId="29" xfId="1" applyNumberFormat="1" applyFont="1" applyFill="1" applyBorder="1" applyAlignment="1">
      <alignment horizontal="center" vertical="center" wrapText="1"/>
    </xf>
    <xf numFmtId="168" fontId="22" fillId="11" borderId="29" xfId="1" applyNumberFormat="1" applyFont="1" applyFill="1" applyBorder="1" applyAlignment="1">
      <alignment horizontal="center" vertical="center"/>
    </xf>
    <xf numFmtId="0" fontId="5" fillId="0" borderId="58" xfId="0" applyFont="1" applyBorder="1" applyAlignment="1">
      <alignment horizontal="right" vertical="center"/>
    </xf>
    <xf numFmtId="0" fontId="4" fillId="0" borderId="72" xfId="0" applyFont="1" applyBorder="1" applyAlignment="1">
      <alignment horizontal="right" vertical="center"/>
    </xf>
    <xf numFmtId="0" fontId="23" fillId="0" borderId="24" xfId="0" applyFont="1" applyBorder="1" applyAlignment="1">
      <alignment vertical="center"/>
    </xf>
    <xf numFmtId="0" fontId="5" fillId="0" borderId="29" xfId="0" applyFont="1" applyBorder="1" applyAlignment="1">
      <alignment horizontal="left" vertical="center" wrapText="1"/>
    </xf>
    <xf numFmtId="0" fontId="5" fillId="0" borderId="59" xfId="0" applyFont="1" applyBorder="1" applyAlignment="1">
      <alignment horizontal="left" vertical="center" wrapText="1"/>
    </xf>
    <xf numFmtId="0" fontId="4" fillId="0" borderId="29" xfId="0" applyFont="1" applyBorder="1" applyAlignment="1">
      <alignment horizontal="left" vertical="center" wrapText="1"/>
    </xf>
    <xf numFmtId="0" fontId="4" fillId="0" borderId="24" xfId="0" applyFont="1" applyBorder="1" applyAlignment="1">
      <alignment horizontal="left" vertical="center" wrapText="1"/>
    </xf>
    <xf numFmtId="0" fontId="35" fillId="0" borderId="29" xfId="0" applyFont="1" applyBorder="1" applyAlignment="1">
      <alignment horizontal="left" vertical="center" wrapText="1"/>
    </xf>
    <xf numFmtId="0" fontId="4" fillId="0" borderId="59" xfId="0" applyFont="1" applyBorder="1" applyAlignment="1">
      <alignment horizontal="left" vertical="center" wrapText="1"/>
    </xf>
    <xf numFmtId="167" fontId="23" fillId="0" borderId="24" xfId="2" applyNumberFormat="1" applyFont="1" applyBorder="1" applyAlignment="1">
      <alignment horizontal="center" vertical="center"/>
    </xf>
    <xf numFmtId="0" fontId="4" fillId="2" borderId="44" xfId="0" applyFont="1" applyFill="1" applyBorder="1" applyAlignment="1">
      <alignment horizontal="center" vertical="center" wrapText="1"/>
    </xf>
    <xf numFmtId="167" fontId="23" fillId="0" borderId="60" xfId="2" applyNumberFormat="1" applyFont="1" applyBorder="1" applyAlignment="1">
      <alignment horizontal="center" vertical="center"/>
    </xf>
    <xf numFmtId="167" fontId="22" fillId="0" borderId="62" xfId="2" applyNumberFormat="1" applyFont="1" applyBorder="1" applyAlignment="1">
      <alignment horizontal="center" vertical="center"/>
    </xf>
    <xf numFmtId="166" fontId="4" fillId="0" borderId="62" xfId="2" applyNumberFormat="1" applyFont="1" applyBorder="1" applyAlignment="1">
      <alignment horizontal="center" vertical="center"/>
    </xf>
    <xf numFmtId="167" fontId="22" fillId="0" borderId="19" xfId="2" applyNumberFormat="1" applyFont="1" applyBorder="1" applyAlignment="1">
      <alignment horizontal="center" vertical="center"/>
    </xf>
    <xf numFmtId="168" fontId="4" fillId="0" borderId="24" xfId="1" applyNumberFormat="1" applyFont="1" applyBorder="1" applyAlignment="1">
      <alignment horizontal="center" wrapText="1"/>
    </xf>
    <xf numFmtId="168" fontId="4" fillId="11" borderId="29" xfId="1" applyNumberFormat="1" applyFont="1" applyFill="1" applyBorder="1" applyAlignment="1">
      <alignment horizontal="right" vertical="center"/>
    </xf>
    <xf numFmtId="168" fontId="4" fillId="4" borderId="29" xfId="1" applyNumberFormat="1" applyFont="1" applyFill="1" applyBorder="1" applyAlignment="1">
      <alignment horizontal="right" vertical="center"/>
    </xf>
    <xf numFmtId="175" fontId="22" fillId="0" borderId="29" xfId="1" applyNumberFormat="1" applyFont="1" applyFill="1" applyBorder="1" applyAlignment="1">
      <alignment horizontal="right" vertical="center"/>
    </xf>
    <xf numFmtId="168" fontId="22" fillId="0" borderId="59" xfId="1" applyNumberFormat="1" applyFont="1" applyFill="1" applyBorder="1" applyAlignment="1">
      <alignment horizontal="right" vertical="center"/>
    </xf>
    <xf numFmtId="168" fontId="38" fillId="0" borderId="29" xfId="1" applyNumberFormat="1" applyFont="1" applyFill="1" applyBorder="1" applyAlignment="1">
      <alignment horizontal="right" vertical="center"/>
    </xf>
    <xf numFmtId="3" fontId="4" fillId="0" borderId="24" xfId="0" applyNumberFormat="1" applyFont="1" applyBorder="1" applyAlignment="1">
      <alignment horizontal="right" vertical="center" wrapText="1"/>
    </xf>
    <xf numFmtId="0" fontId="5" fillId="0" borderId="29" xfId="0" applyFont="1" applyBorder="1" applyAlignment="1">
      <alignment horizontal="right" vertical="center" wrapText="1"/>
    </xf>
    <xf numFmtId="0" fontId="4" fillId="0" borderId="29" xfId="0" applyFont="1" applyBorder="1" applyAlignment="1">
      <alignment vertical="center"/>
    </xf>
    <xf numFmtId="0" fontId="5" fillId="0" borderId="29" xfId="0" applyFont="1" applyBorder="1" applyAlignment="1">
      <alignment horizontal="right" wrapText="1"/>
    </xf>
    <xf numFmtId="0" fontId="32" fillId="0" borderId="29" xfId="0" applyFont="1" applyBorder="1" applyAlignment="1">
      <alignment horizontal="right" vertical="center" wrapText="1"/>
    </xf>
    <xf numFmtId="0" fontId="4" fillId="0" borderId="29" xfId="0" applyFont="1" applyBorder="1" applyAlignment="1">
      <alignment horizontal="right" vertical="center" wrapText="1"/>
    </xf>
    <xf numFmtId="172" fontId="22" fillId="4" borderId="24" xfId="2" applyNumberFormat="1" applyFont="1" applyFill="1" applyBorder="1" applyAlignment="1">
      <alignment horizontal="center" vertical="center"/>
    </xf>
    <xf numFmtId="167" fontId="22" fillId="0" borderId="60" xfId="2" applyNumberFormat="1" applyFont="1" applyBorder="1" applyAlignment="1">
      <alignment horizontal="center" vertical="center"/>
    </xf>
    <xf numFmtId="168" fontId="22" fillId="0" borderId="24" xfId="1" applyNumberFormat="1" applyFont="1" applyFill="1" applyBorder="1" applyAlignment="1">
      <alignment horizontal="right" vertical="center"/>
    </xf>
    <xf numFmtId="0" fontId="5" fillId="0" borderId="24" xfId="0" applyFont="1" applyBorder="1" applyAlignment="1">
      <alignment horizontal="left" vertical="center" wrapText="1"/>
    </xf>
    <xf numFmtId="166" fontId="4" fillId="0" borderId="60" xfId="2" applyNumberFormat="1" applyFont="1" applyBorder="1" applyAlignment="1">
      <alignment horizontal="center" vertical="center"/>
    </xf>
    <xf numFmtId="0" fontId="5" fillId="0" borderId="24" xfId="0" applyFont="1" applyBorder="1" applyAlignment="1">
      <alignment horizontal="right" vertical="center" wrapText="1"/>
    </xf>
    <xf numFmtId="166" fontId="4" fillId="0" borderId="19" xfId="2" applyNumberFormat="1" applyFont="1" applyBorder="1" applyAlignment="1">
      <alignment horizontal="center" vertical="center"/>
    </xf>
    <xf numFmtId="0" fontId="5" fillId="0" borderId="59" xfId="0" applyFont="1" applyBorder="1" applyAlignment="1">
      <alignment horizontal="right" vertical="center" wrapText="1"/>
    </xf>
    <xf numFmtId="0" fontId="5" fillId="0" borderId="24" xfId="0" applyFont="1" applyBorder="1" applyAlignment="1">
      <alignment horizontal="right" vertical="center"/>
    </xf>
    <xf numFmtId="168" fontId="38" fillId="0" borderId="59" xfId="1" applyNumberFormat="1" applyFont="1" applyFill="1" applyBorder="1" applyAlignment="1">
      <alignment horizontal="right" vertical="center"/>
    </xf>
    <xf numFmtId="0" fontId="22" fillId="0" borderId="60" xfId="0" applyFont="1" applyFill="1" applyBorder="1" applyAlignment="1">
      <alignment horizontal="center" vertical="center"/>
    </xf>
    <xf numFmtId="3" fontId="27" fillId="0" borderId="30" xfId="0" applyNumberFormat="1" applyFont="1" applyFill="1" applyBorder="1" applyAlignment="1">
      <alignment horizontal="center" vertical="center"/>
    </xf>
    <xf numFmtId="3" fontId="27" fillId="0" borderId="75" xfId="0" applyNumberFormat="1" applyFont="1" applyFill="1" applyBorder="1" applyAlignment="1">
      <alignment horizontal="center" vertical="center"/>
    </xf>
    <xf numFmtId="3" fontId="22" fillId="0" borderId="59" xfId="0" applyNumberFormat="1" applyFont="1" applyFill="1" applyBorder="1" applyAlignment="1">
      <alignment horizontal="center" vertical="center"/>
    </xf>
    <xf numFmtId="0" fontId="5" fillId="0" borderId="63" xfId="0" applyFont="1" applyBorder="1" applyAlignment="1">
      <alignment horizontal="left" vertical="center"/>
    </xf>
    <xf numFmtId="0" fontId="5" fillId="0" borderId="48" xfId="0" applyFont="1" applyBorder="1" applyAlignment="1">
      <alignment horizontal="left" vertical="center"/>
    </xf>
    <xf numFmtId="3" fontId="5" fillId="0" borderId="48" xfId="0" applyNumberFormat="1" applyFont="1" applyFill="1" applyBorder="1" applyAlignment="1">
      <alignment horizontal="left" vertical="center"/>
    </xf>
    <xf numFmtId="3" fontId="5" fillId="0" borderId="16" xfId="0" applyNumberFormat="1" applyFont="1" applyFill="1" applyBorder="1" applyAlignment="1">
      <alignment horizontal="left" vertical="center"/>
    </xf>
    <xf numFmtId="3" fontId="22" fillId="4" borderId="29" xfId="0" applyNumberFormat="1" applyFont="1" applyFill="1" applyBorder="1" applyAlignment="1">
      <alignment horizontal="center" vertical="center"/>
    </xf>
    <xf numFmtId="1" fontId="22" fillId="4" borderId="59" xfId="0" applyNumberFormat="1" applyFont="1" applyFill="1" applyBorder="1" applyAlignment="1">
      <alignment horizontal="center" vertical="center"/>
    </xf>
    <xf numFmtId="1" fontId="22" fillId="4" borderId="29" xfId="0" applyNumberFormat="1" applyFont="1" applyFill="1" applyBorder="1" applyAlignment="1">
      <alignment horizontal="center" vertical="center"/>
    </xf>
    <xf numFmtId="0" fontId="22" fillId="4" borderId="24" xfId="0" applyFont="1" applyFill="1" applyBorder="1" applyAlignment="1">
      <alignment horizontal="center" vertical="center"/>
    </xf>
    <xf numFmtId="0" fontId="4" fillId="0" borderId="63" xfId="0" applyFont="1" applyBorder="1" applyAlignment="1">
      <alignment vertical="center"/>
    </xf>
    <xf numFmtId="0" fontId="5" fillId="0" borderId="48" xfId="0" applyFont="1" applyBorder="1" applyAlignment="1">
      <alignment vertical="center" wrapText="1"/>
    </xf>
    <xf numFmtId="0" fontId="5" fillId="0" borderId="48" xfId="0" applyFont="1" applyBorder="1" applyAlignment="1">
      <alignment vertical="center"/>
    </xf>
    <xf numFmtId="0" fontId="4" fillId="0" borderId="16" xfId="0" applyFont="1" applyBorder="1" applyAlignment="1">
      <alignment vertical="center"/>
    </xf>
    <xf numFmtId="0" fontId="4" fillId="11" borderId="24" xfId="0" applyFont="1" applyFill="1" applyBorder="1" applyAlignment="1">
      <alignment horizontal="center" vertical="center"/>
    </xf>
    <xf numFmtId="4" fontId="5" fillId="4" borderId="63" xfId="0" applyNumberFormat="1" applyFont="1" applyFill="1" applyBorder="1" applyAlignment="1">
      <alignment horizontal="left" vertical="center"/>
    </xf>
    <xf numFmtId="4" fontId="5" fillId="4" borderId="48" xfId="0" applyNumberFormat="1" applyFont="1" applyFill="1" applyBorder="1" applyAlignment="1">
      <alignment horizontal="left" vertical="center"/>
    </xf>
    <xf numFmtId="9" fontId="34" fillId="11" borderId="24" xfId="0" applyNumberFormat="1" applyFont="1" applyFill="1" applyBorder="1" applyAlignment="1">
      <alignment horizontal="center" vertical="center"/>
    </xf>
    <xf numFmtId="0" fontId="15" fillId="0" borderId="24" xfId="0" applyFont="1" applyBorder="1" applyAlignment="1">
      <alignment horizontal="right" vertical="center"/>
    </xf>
    <xf numFmtId="0" fontId="15" fillId="0" borderId="29" xfId="0" applyFont="1" applyBorder="1" applyAlignment="1">
      <alignment horizontal="right" vertical="center"/>
    </xf>
    <xf numFmtId="0" fontId="15" fillId="0" borderId="59" xfId="0" applyFont="1" applyBorder="1" applyAlignment="1">
      <alignment horizontal="right" vertical="center"/>
    </xf>
    <xf numFmtId="0" fontId="15" fillId="0" borderId="26" xfId="0" applyFont="1" applyBorder="1" applyAlignment="1">
      <alignment vertical="center" wrapText="1"/>
    </xf>
    <xf numFmtId="0" fontId="20" fillId="11" borderId="58" xfId="0" applyFont="1" applyFill="1" applyBorder="1" applyAlignment="1">
      <alignment horizontal="right" vertical="center"/>
    </xf>
    <xf numFmtId="0" fontId="16" fillId="11" borderId="58" xfId="0" applyFont="1" applyFill="1" applyBorder="1" applyAlignment="1">
      <alignment horizontal="right" vertical="center"/>
    </xf>
    <xf numFmtId="168" fontId="22" fillId="11" borderId="59" xfId="1" applyNumberFormat="1" applyFont="1" applyFill="1" applyBorder="1" applyAlignment="1">
      <alignment horizontal="center" vertical="center"/>
    </xf>
    <xf numFmtId="0" fontId="59" fillId="7" borderId="5" xfId="0" applyFont="1" applyFill="1" applyBorder="1" applyAlignment="1">
      <alignment horizontal="center" vertical="center" wrapText="1"/>
    </xf>
    <xf numFmtId="0" fontId="59" fillId="7" borderId="7" xfId="0" applyFont="1" applyFill="1" applyBorder="1" applyAlignment="1">
      <alignment horizontal="center" vertical="center"/>
    </xf>
    <xf numFmtId="0" fontId="60" fillId="7" borderId="3" xfId="0" applyFont="1" applyFill="1" applyBorder="1" applyAlignment="1">
      <alignment horizontal="center" vertical="center"/>
    </xf>
    <xf numFmtId="0" fontId="55" fillId="0" borderId="0" xfId="0" applyFont="1" applyBorder="1" applyAlignment="1">
      <alignment horizontal="left" vertical="center"/>
    </xf>
    <xf numFmtId="0" fontId="55" fillId="0" borderId="35" xfId="0" applyFont="1" applyBorder="1" applyAlignment="1">
      <alignment horizontal="left" vertical="center"/>
    </xf>
    <xf numFmtId="0" fontId="55" fillId="0" borderId="48" xfId="0" applyFont="1" applyBorder="1" applyAlignment="1">
      <alignment horizontal="left" vertical="center"/>
    </xf>
    <xf numFmtId="0" fontId="55" fillId="4" borderId="48" xfId="0" applyFont="1" applyFill="1" applyBorder="1" applyAlignment="1">
      <alignment horizontal="left" vertical="center" wrapText="1"/>
    </xf>
    <xf numFmtId="0" fontId="55" fillId="4" borderId="48" xfId="0" applyFont="1" applyFill="1" applyBorder="1" applyAlignment="1">
      <alignment horizontal="right" vertical="center" wrapText="1"/>
    </xf>
    <xf numFmtId="0" fontId="55" fillId="4" borderId="48" xfId="0" applyFont="1" applyFill="1" applyBorder="1" applyAlignment="1">
      <alignment horizontal="left" vertical="center"/>
    </xf>
    <xf numFmtId="0" fontId="14" fillId="0" borderId="48" xfId="0" applyFont="1" applyBorder="1" applyAlignment="1">
      <alignment horizontal="left" vertical="center"/>
    </xf>
    <xf numFmtId="0" fontId="55" fillId="0" borderId="16" xfId="0" applyFont="1" applyBorder="1" applyAlignment="1">
      <alignment horizontal="left" vertical="center"/>
    </xf>
    <xf numFmtId="3" fontId="55" fillId="0" borderId="48" xfId="0" applyNumberFormat="1" applyFont="1" applyBorder="1" applyAlignment="1">
      <alignment horizontal="left" vertical="center"/>
    </xf>
    <xf numFmtId="0" fontId="55" fillId="0" borderId="24" xfId="0" applyFont="1" applyBorder="1" applyAlignment="1">
      <alignment horizontal="right" vertical="center"/>
    </xf>
    <xf numFmtId="170" fontId="55" fillId="0" borderId="29" xfId="1" applyNumberFormat="1" applyFont="1" applyBorder="1" applyAlignment="1">
      <alignment horizontal="right"/>
    </xf>
    <xf numFmtId="169" fontId="55" fillId="0" borderId="29" xfId="1" applyNumberFormat="1" applyFont="1" applyBorder="1" applyAlignment="1">
      <alignment horizontal="right" vertical="center"/>
    </xf>
    <xf numFmtId="0" fontId="55" fillId="0" borderId="29" xfId="0" applyFont="1" applyBorder="1" applyAlignment="1">
      <alignment horizontal="right" vertical="center"/>
    </xf>
    <xf numFmtId="0" fontId="18" fillId="0" borderId="7" xfId="0" applyFont="1" applyBorder="1" applyAlignment="1">
      <alignment horizontal="right" vertical="center"/>
    </xf>
    <xf numFmtId="177" fontId="55" fillId="0" borderId="29" xfId="0" applyNumberFormat="1" applyFont="1" applyBorder="1" applyAlignment="1">
      <alignment horizontal="right" vertical="center"/>
    </xf>
    <xf numFmtId="167" fontId="55" fillId="0" borderId="29" xfId="2" applyNumberFormat="1" applyFont="1" applyBorder="1" applyAlignment="1">
      <alignment horizontal="right" vertical="center"/>
    </xf>
    <xf numFmtId="9" fontId="55" fillId="0" borderId="29" xfId="0" applyNumberFormat="1" applyFont="1" applyBorder="1" applyAlignment="1">
      <alignment horizontal="right" vertical="center"/>
    </xf>
    <xf numFmtId="177" fontId="55" fillId="0" borderId="24" xfId="0" applyNumberFormat="1" applyFont="1" applyBorder="1" applyAlignment="1">
      <alignment horizontal="right" vertical="center"/>
    </xf>
    <xf numFmtId="0" fontId="14" fillId="0" borderId="63" xfId="0" applyFont="1" applyBorder="1" applyAlignment="1">
      <alignment horizontal="left" vertical="center" wrapText="1"/>
    </xf>
    <xf numFmtId="0" fontId="18" fillId="0" borderId="0" xfId="0" applyFont="1" applyFill="1" applyAlignment="1">
      <alignment vertical="center"/>
    </xf>
    <xf numFmtId="0" fontId="18" fillId="0" borderId="0" xfId="0" applyFont="1" applyFill="1" applyAlignment="1">
      <alignment horizontal="center" vertical="center"/>
    </xf>
    <xf numFmtId="0" fontId="9" fillId="0" borderId="0" xfId="0" applyFont="1" applyFill="1" applyAlignment="1">
      <alignment vertical="center"/>
    </xf>
    <xf numFmtId="0" fontId="25" fillId="0" borderId="0" xfId="0" applyFont="1" applyFill="1" applyAlignment="1">
      <alignment horizontal="right" vertical="center"/>
    </xf>
    <xf numFmtId="0" fontId="54" fillId="0" borderId="0" xfId="0" applyFont="1" applyFill="1" applyAlignment="1">
      <alignment horizontal="center" vertical="center"/>
    </xf>
    <xf numFmtId="167" fontId="4" fillId="4" borderId="64" xfId="0" applyNumberFormat="1" applyFont="1" applyFill="1" applyBorder="1" applyAlignment="1">
      <alignment horizontal="center"/>
    </xf>
    <xf numFmtId="4" fontId="4" fillId="4" borderId="38" xfId="0" applyNumberFormat="1" applyFont="1" applyFill="1" applyBorder="1" applyAlignment="1">
      <alignment vertical="center" wrapText="1"/>
    </xf>
    <xf numFmtId="4" fontId="4" fillId="4" borderId="74" xfId="0" applyNumberFormat="1" applyFont="1" applyFill="1" applyBorder="1" applyAlignment="1">
      <alignment vertical="center" wrapText="1"/>
    </xf>
    <xf numFmtId="0" fontId="5" fillId="4" borderId="43" xfId="0" applyFont="1" applyFill="1" applyBorder="1" applyAlignment="1">
      <alignment horizontal="center"/>
    </xf>
    <xf numFmtId="0" fontId="5" fillId="4" borderId="37" xfId="0" applyFont="1" applyFill="1" applyBorder="1" applyAlignment="1">
      <alignment horizontal="center"/>
    </xf>
    <xf numFmtId="3" fontId="4" fillId="4" borderId="42" xfId="0" applyNumberFormat="1" applyFont="1" applyFill="1" applyBorder="1" applyAlignment="1">
      <alignment horizontal="center"/>
    </xf>
    <xf numFmtId="3" fontId="4" fillId="4" borderId="21" xfId="0" applyNumberFormat="1" applyFont="1" applyFill="1" applyBorder="1" applyAlignment="1">
      <alignment horizontal="center"/>
    </xf>
    <xf numFmtId="3" fontId="4" fillId="4" borderId="50" xfId="0" applyNumberFormat="1" applyFont="1" applyFill="1" applyBorder="1" applyAlignment="1">
      <alignment horizontal="center"/>
    </xf>
    <xf numFmtId="4" fontId="4" fillId="4" borderId="29" xfId="0" applyNumberFormat="1" applyFont="1" applyFill="1" applyBorder="1" applyAlignment="1">
      <alignment horizontal="left"/>
    </xf>
    <xf numFmtId="0" fontId="5" fillId="0" borderId="30" xfId="0" applyFont="1" applyBorder="1" applyAlignment="1">
      <alignment horizontal="center" vertical="center"/>
    </xf>
    <xf numFmtId="9" fontId="5" fillId="0" borderId="62" xfId="0" applyNumberFormat="1" applyFont="1" applyBorder="1" applyAlignment="1">
      <alignment horizontal="center"/>
    </xf>
    <xf numFmtId="4" fontId="4" fillId="4" borderId="44" xfId="0" applyNumberFormat="1" applyFont="1" applyFill="1" applyBorder="1" applyAlignment="1">
      <alignment horizontal="center"/>
    </xf>
    <xf numFmtId="0" fontId="45" fillId="0" borderId="29" xfId="0" applyFont="1" applyBorder="1" applyAlignment="1">
      <alignment horizontal="center"/>
    </xf>
    <xf numFmtId="4" fontId="5" fillId="4" borderId="29" xfId="0" applyNumberFormat="1" applyFont="1" applyFill="1" applyBorder="1" applyAlignment="1">
      <alignment horizontal="left"/>
    </xf>
    <xf numFmtId="4" fontId="5" fillId="4" borderId="29" xfId="0" applyNumberFormat="1" applyFont="1" applyFill="1" applyBorder="1" applyAlignment="1">
      <alignment horizontal="left" vertical="center" wrapText="1"/>
    </xf>
    <xf numFmtId="3" fontId="5" fillId="4" borderId="29" xfId="0" applyNumberFormat="1" applyFont="1" applyFill="1" applyBorder="1" applyAlignment="1">
      <alignment horizontal="left"/>
    </xf>
    <xf numFmtId="3" fontId="4" fillId="4" borderId="29" xfId="0" applyNumberFormat="1" applyFont="1" applyFill="1" applyBorder="1" applyAlignment="1">
      <alignment horizontal="left"/>
    </xf>
    <xf numFmtId="4" fontId="4" fillId="4" borderId="3" xfId="0" applyNumberFormat="1" applyFont="1" applyFill="1" applyBorder="1" applyAlignment="1">
      <alignment horizontal="center"/>
    </xf>
    <xf numFmtId="4" fontId="4" fillId="4" borderId="32" xfId="0" applyNumberFormat="1" applyFont="1" applyFill="1" applyBorder="1" applyAlignment="1">
      <alignment horizontal="center"/>
    </xf>
    <xf numFmtId="0" fontId="4" fillId="4" borderId="38" xfId="0" applyFont="1" applyFill="1" applyBorder="1" applyAlignment="1">
      <alignment vertical="center" wrapText="1"/>
    </xf>
    <xf numFmtId="168" fontId="5" fillId="4" borderId="29" xfId="1" applyNumberFormat="1" applyFont="1" applyFill="1" applyBorder="1" applyAlignment="1">
      <alignment horizontal="right" vertical="center"/>
    </xf>
    <xf numFmtId="168" fontId="5" fillId="0" borderId="29" xfId="1" applyNumberFormat="1" applyFont="1" applyFill="1" applyBorder="1" applyAlignment="1">
      <alignment horizontal="right" vertical="center"/>
    </xf>
    <xf numFmtId="0" fontId="62" fillId="0" borderId="63" xfId="0" applyFont="1" applyBorder="1" applyAlignment="1">
      <alignment horizontal="left" vertical="center"/>
    </xf>
    <xf numFmtId="0" fontId="31" fillId="4" borderId="24" xfId="0" applyFont="1" applyFill="1" applyBorder="1" applyAlignment="1">
      <alignment horizontal="center" vertical="center"/>
    </xf>
    <xf numFmtId="0" fontId="31" fillId="4" borderId="63" xfId="0" applyFont="1" applyFill="1" applyBorder="1" applyAlignment="1">
      <alignment horizontal="left" vertical="center"/>
    </xf>
    <xf numFmtId="170" fontId="55" fillId="0" borderId="59" xfId="1" applyNumberFormat="1" applyFont="1" applyBorder="1" applyAlignment="1">
      <alignment horizontal="right"/>
    </xf>
    <xf numFmtId="178" fontId="55" fillId="0" borderId="29" xfId="1" applyNumberFormat="1" applyFont="1" applyBorder="1" applyAlignment="1">
      <alignment horizontal="right"/>
    </xf>
    <xf numFmtId="0" fontId="2" fillId="0" borderId="0" xfId="0" applyFont="1" applyBorder="1" applyAlignment="1">
      <alignment horizontal="center" vertical="center" wrapText="1"/>
    </xf>
    <xf numFmtId="169" fontId="61" fillId="0" borderId="69" xfId="1" applyNumberFormat="1" applyFont="1" applyFill="1" applyBorder="1" applyAlignment="1">
      <alignment horizontal="center" vertical="center"/>
    </xf>
    <xf numFmtId="179" fontId="55" fillId="0" borderId="29" xfId="1" applyNumberFormat="1" applyFont="1" applyBorder="1" applyAlignment="1">
      <alignment horizontal="right" vertical="center"/>
    </xf>
    <xf numFmtId="9" fontId="55" fillId="0" borderId="0" xfId="0" applyNumberFormat="1" applyFont="1" applyBorder="1" applyAlignment="1">
      <alignment horizontal="center"/>
    </xf>
    <xf numFmtId="0" fontId="55" fillId="0" borderId="69" xfId="0" applyFont="1" applyBorder="1" applyAlignment="1">
      <alignment vertical="center" wrapText="1"/>
    </xf>
    <xf numFmtId="0" fontId="18" fillId="0" borderId="12" xfId="0" applyFont="1" applyBorder="1" applyAlignment="1">
      <alignment horizontal="center" vertical="center"/>
    </xf>
    <xf numFmtId="170" fontId="55" fillId="0" borderId="0" xfId="1" applyNumberFormat="1" applyFont="1" applyBorder="1" applyAlignment="1">
      <alignment horizontal="right"/>
    </xf>
    <xf numFmtId="0" fontId="57" fillId="4" borderId="0" xfId="0" applyFont="1" applyFill="1"/>
    <xf numFmtId="0" fontId="0" fillId="4" borderId="0" xfId="0" applyFill="1"/>
    <xf numFmtId="0" fontId="34" fillId="4" borderId="0" xfId="0" applyFont="1" applyFill="1"/>
    <xf numFmtId="167" fontId="55" fillId="4" borderId="0"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180" fontId="55" fillId="0" borderId="29" xfId="2" applyNumberFormat="1" applyFont="1" applyBorder="1" applyAlignment="1">
      <alignment horizontal="right" vertical="center"/>
    </xf>
    <xf numFmtId="180" fontId="55" fillId="0" borderId="59" xfId="2" applyNumberFormat="1" applyFont="1" applyBorder="1" applyAlignment="1">
      <alignment horizontal="right" vertical="center"/>
    </xf>
    <xf numFmtId="0" fontId="0" fillId="4" borderId="0" xfId="0" applyFill="1" applyBorder="1"/>
    <xf numFmtId="0" fontId="2" fillId="0" borderId="0" xfId="0" applyFont="1" applyBorder="1" applyAlignment="1">
      <alignment vertical="center" wrapText="1"/>
    </xf>
    <xf numFmtId="9" fontId="0" fillId="0" borderId="0" xfId="0" applyNumberFormat="1" applyBorder="1"/>
    <xf numFmtId="9" fontId="0" fillId="0" borderId="0" xfId="0" applyNumberFormat="1" applyBorder="1" applyAlignment="1">
      <alignment horizontal="center"/>
    </xf>
    <xf numFmtId="167" fontId="0" fillId="0" borderId="0" xfId="0" applyNumberFormat="1" applyBorder="1" applyAlignment="1">
      <alignment horizontal="center"/>
    </xf>
    <xf numFmtId="167" fontId="2" fillId="0" borderId="0" xfId="0" applyNumberFormat="1" applyFont="1" applyBorder="1" applyAlignment="1">
      <alignment horizontal="center"/>
    </xf>
    <xf numFmtId="9" fontId="0" fillId="0" borderId="0" xfId="0" applyNumberFormat="1" applyBorder="1" applyAlignment="1">
      <alignment horizontal="center" vertical="center"/>
    </xf>
    <xf numFmtId="167" fontId="0" fillId="0" borderId="0" xfId="0" applyNumberFormat="1" applyBorder="1" applyAlignment="1">
      <alignment horizontal="center" vertical="center"/>
    </xf>
    <xf numFmtId="3" fontId="0" fillId="0" borderId="0" xfId="0" applyNumberFormat="1" applyBorder="1"/>
    <xf numFmtId="9" fontId="0" fillId="0" borderId="29" xfId="0" applyNumberFormat="1" applyBorder="1" applyAlignment="1">
      <alignment horizontal="center"/>
    </xf>
    <xf numFmtId="167" fontId="2" fillId="0" borderId="24" xfId="0" applyNumberFormat="1" applyFont="1" applyBorder="1" applyAlignment="1">
      <alignment horizontal="center"/>
    </xf>
    <xf numFmtId="9" fontId="0" fillId="0" borderId="29" xfId="0" applyNumberFormat="1" applyBorder="1" applyAlignment="1">
      <alignment horizontal="center" vertical="center"/>
    </xf>
    <xf numFmtId="0" fontId="0" fillId="0" borderId="0" xfId="0" applyAlignment="1"/>
    <xf numFmtId="0" fontId="2" fillId="0" borderId="0" xfId="0" applyFont="1" applyBorder="1" applyAlignment="1"/>
    <xf numFmtId="0" fontId="0" fillId="0" borderId="0" xfId="0" applyBorder="1" applyAlignment="1"/>
    <xf numFmtId="10" fontId="0" fillId="0" borderId="0" xfId="0" applyNumberFormat="1" applyBorder="1" applyAlignment="1">
      <alignment horizontal="center" vertical="center"/>
    </xf>
    <xf numFmtId="0" fontId="64" fillId="0" borderId="0" xfId="0" applyFont="1"/>
    <xf numFmtId="3" fontId="4" fillId="4" borderId="0" xfId="0" applyNumberFormat="1" applyFont="1" applyFill="1" applyAlignment="1">
      <alignment horizontal="center"/>
    </xf>
    <xf numFmtId="0" fontId="38" fillId="4" borderId="0" xfId="0" applyFont="1" applyFill="1" applyBorder="1" applyAlignment="1">
      <alignment horizontal="center" vertical="center"/>
    </xf>
    <xf numFmtId="0" fontId="38" fillId="6" borderId="0" xfId="0" applyFont="1" applyFill="1" applyAlignment="1">
      <alignment horizontal="center" vertical="center"/>
    </xf>
    <xf numFmtId="167" fontId="4" fillId="4" borderId="29" xfId="2" applyNumberFormat="1" applyFont="1" applyFill="1" applyBorder="1" applyAlignment="1">
      <alignment horizontal="center" vertical="center"/>
    </xf>
    <xf numFmtId="167" fontId="4" fillId="4" borderId="29" xfId="0" applyNumberFormat="1" applyFont="1" applyFill="1" applyBorder="1" applyAlignment="1">
      <alignment horizontal="center" vertical="center"/>
    </xf>
    <xf numFmtId="0" fontId="19" fillId="0" borderId="0" xfId="0" applyFont="1" applyAlignment="1">
      <alignment horizontal="center"/>
    </xf>
    <xf numFmtId="1" fontId="22" fillId="11" borderId="29" xfId="0" applyNumberFormat="1" applyFont="1" applyFill="1" applyBorder="1" applyAlignment="1">
      <alignment horizontal="center" vertical="center"/>
    </xf>
    <xf numFmtId="1" fontId="22" fillId="11" borderId="59" xfId="0" applyNumberFormat="1" applyFont="1" applyFill="1" applyBorder="1" applyAlignment="1">
      <alignment horizontal="center" vertical="center"/>
    </xf>
    <xf numFmtId="9" fontId="0" fillId="0" borderId="0" xfId="0" applyNumberFormat="1" applyBorder="1" applyAlignment="1">
      <alignment vertical="center"/>
    </xf>
    <xf numFmtId="0" fontId="4" fillId="0" borderId="1" xfId="0" applyFont="1" applyBorder="1" applyAlignment="1">
      <alignment horizontal="left"/>
    </xf>
    <xf numFmtId="0" fontId="4" fillId="4" borderId="1" xfId="0" applyFont="1" applyFill="1" applyBorder="1" applyAlignment="1">
      <alignment vertical="center" wrapText="1"/>
    </xf>
    <xf numFmtId="0" fontId="23" fillId="4" borderId="23" xfId="0" applyFont="1" applyFill="1" applyBorder="1" applyAlignment="1">
      <alignment vertical="center" wrapText="1"/>
    </xf>
    <xf numFmtId="3" fontId="22" fillId="4" borderId="15" xfId="0" applyNumberFormat="1" applyFont="1" applyFill="1" applyBorder="1" applyAlignment="1">
      <alignment horizontal="center" vertical="center"/>
    </xf>
    <xf numFmtId="0" fontId="65" fillId="12" borderId="21" xfId="0" applyFont="1" applyFill="1" applyBorder="1" applyAlignment="1">
      <alignment vertical="center" wrapText="1"/>
    </xf>
    <xf numFmtId="0" fontId="4" fillId="0" borderId="38" xfId="0" applyFont="1" applyBorder="1" applyAlignment="1">
      <alignment vertical="center"/>
    </xf>
    <xf numFmtId="3" fontId="37" fillId="12" borderId="1" xfId="0" applyNumberFormat="1" applyFont="1" applyFill="1" applyBorder="1" applyAlignment="1">
      <alignment horizontal="left"/>
    </xf>
    <xf numFmtId="3" fontId="38" fillId="5" borderId="0" xfId="0" applyNumberFormat="1" applyFont="1" applyFill="1" applyAlignment="1">
      <alignment horizontal="center"/>
    </xf>
    <xf numFmtId="0" fontId="4" fillId="0" borderId="38" xfId="0" applyFont="1" applyBorder="1" applyAlignment="1">
      <alignment horizontal="left"/>
    </xf>
    <xf numFmtId="0" fontId="37" fillId="12" borderId="8" xfId="0" applyFont="1" applyFill="1" applyBorder="1" applyAlignment="1">
      <alignment horizontal="left"/>
    </xf>
    <xf numFmtId="0" fontId="38" fillId="0" borderId="31" xfId="0" applyFont="1" applyBorder="1" applyAlignment="1">
      <alignment horizontal="center" vertical="center"/>
    </xf>
    <xf numFmtId="10" fontId="38" fillId="4" borderId="28" xfId="0" applyNumberFormat="1" applyFont="1" applyFill="1" applyBorder="1" applyAlignment="1">
      <alignment horizontal="center"/>
    </xf>
    <xf numFmtId="0" fontId="38" fillId="5" borderId="0" xfId="0" applyFont="1" applyFill="1" applyAlignment="1">
      <alignment horizontal="center"/>
    </xf>
    <xf numFmtId="0" fontId="58" fillId="4" borderId="0" xfId="0" applyFont="1" applyFill="1" applyAlignment="1">
      <alignment horizontal="center" vertical="center"/>
    </xf>
    <xf numFmtId="4" fontId="58" fillId="3" borderId="37" xfId="0" applyNumberFormat="1" applyFont="1" applyFill="1" applyBorder="1" applyAlignment="1">
      <alignment horizontal="center" vertical="center"/>
    </xf>
    <xf numFmtId="3" fontId="58" fillId="3" borderId="37" xfId="0" applyNumberFormat="1" applyFont="1" applyFill="1" applyBorder="1" applyAlignment="1">
      <alignment horizontal="center" vertical="center"/>
    </xf>
    <xf numFmtId="3" fontId="58" fillId="3" borderId="18" xfId="0" applyNumberFormat="1" applyFont="1" applyFill="1" applyBorder="1" applyAlignment="1">
      <alignment horizontal="center" vertical="center"/>
    </xf>
    <xf numFmtId="0" fontId="58" fillId="5" borderId="0" xfId="0" applyFont="1" applyFill="1" applyAlignment="1">
      <alignment horizontal="center" vertical="center"/>
    </xf>
    <xf numFmtId="4" fontId="38" fillId="4" borderId="48" xfId="0" applyNumberFormat="1" applyFont="1" applyFill="1" applyBorder="1" applyAlignment="1">
      <alignment horizontal="left"/>
    </xf>
    <xf numFmtId="1" fontId="38" fillId="4" borderId="52" xfId="0" applyNumberFormat="1" applyFont="1" applyFill="1" applyBorder="1" applyAlignment="1">
      <alignment horizontal="center"/>
    </xf>
    <xf numFmtId="3" fontId="38" fillId="4" borderId="52" xfId="0" applyNumberFormat="1" applyFont="1" applyFill="1" applyBorder="1" applyAlignment="1">
      <alignment horizontal="center"/>
    </xf>
    <xf numFmtId="3" fontId="38" fillId="4" borderId="41" xfId="0" applyNumberFormat="1" applyFont="1" applyFill="1" applyBorder="1" applyAlignment="1">
      <alignment horizontal="center"/>
    </xf>
    <xf numFmtId="4" fontId="45" fillId="4" borderId="48" xfId="0" applyNumberFormat="1" applyFont="1" applyFill="1" applyBorder="1" applyAlignment="1">
      <alignment horizontal="left"/>
    </xf>
    <xf numFmtId="4" fontId="5" fillId="4" borderId="1" xfId="0" applyNumberFormat="1" applyFont="1" applyFill="1" applyBorder="1" applyAlignment="1">
      <alignment horizontal="left"/>
    </xf>
    <xf numFmtId="3" fontId="5" fillId="4" borderId="30" xfId="0" applyNumberFormat="1" applyFont="1" applyFill="1" applyBorder="1" applyAlignment="1">
      <alignment horizontal="center"/>
    </xf>
    <xf numFmtId="4" fontId="5" fillId="0" borderId="31" xfId="0" applyNumberFormat="1" applyFont="1" applyBorder="1" applyAlignment="1">
      <alignment horizontal="center"/>
    </xf>
    <xf numFmtId="4" fontId="5" fillId="0" borderId="33" xfId="0" applyNumberFormat="1" applyFont="1" applyBorder="1" applyAlignment="1">
      <alignment horizontal="center"/>
    </xf>
    <xf numFmtId="4" fontId="5" fillId="4" borderId="30" xfId="0" applyNumberFormat="1" applyFont="1" applyFill="1" applyBorder="1" applyAlignment="1">
      <alignment horizontal="center"/>
    </xf>
    <xf numFmtId="4" fontId="38" fillId="4" borderId="1" xfId="0" applyNumberFormat="1" applyFont="1" applyFill="1" applyBorder="1" applyAlignment="1">
      <alignment horizontal="left"/>
    </xf>
    <xf numFmtId="4" fontId="38" fillId="4" borderId="31" xfId="0" applyNumberFormat="1" applyFont="1" applyFill="1" applyBorder="1" applyAlignment="1">
      <alignment horizontal="center"/>
    </xf>
    <xf numFmtId="3" fontId="48" fillId="12" borderId="42" xfId="0" applyNumberFormat="1" applyFont="1" applyFill="1" applyBorder="1" applyAlignment="1">
      <alignment horizontal="left" vertical="center" wrapText="1"/>
    </xf>
    <xf numFmtId="3" fontId="48" fillId="4" borderId="31" xfId="0" applyNumberFormat="1" applyFont="1" applyFill="1" applyBorder="1" applyAlignment="1">
      <alignment horizontal="center" vertical="center"/>
    </xf>
    <xf numFmtId="3" fontId="48" fillId="4" borderId="33" xfId="0" applyNumberFormat="1" applyFont="1" applyFill="1" applyBorder="1" applyAlignment="1">
      <alignment horizontal="center" vertical="center"/>
    </xf>
    <xf numFmtId="4" fontId="48" fillId="4" borderId="75" xfId="0" applyNumberFormat="1" applyFont="1" applyFill="1" applyBorder="1" applyAlignment="1">
      <alignment horizontal="center" vertical="center"/>
    </xf>
    <xf numFmtId="173" fontId="48" fillId="4" borderId="37" xfId="0" applyNumberFormat="1" applyFont="1" applyFill="1" applyBorder="1" applyAlignment="1">
      <alignment horizontal="center" vertical="center"/>
    </xf>
    <xf numFmtId="3" fontId="48" fillId="4" borderId="37" xfId="0" applyNumberFormat="1" applyFont="1" applyFill="1" applyBorder="1" applyAlignment="1">
      <alignment horizontal="center" vertical="center"/>
    </xf>
    <xf numFmtId="3" fontId="48" fillId="4" borderId="18" xfId="0" applyNumberFormat="1" applyFont="1" applyFill="1" applyBorder="1" applyAlignment="1">
      <alignment horizontal="center" vertical="center"/>
    </xf>
    <xf numFmtId="3" fontId="48" fillId="9" borderId="32" xfId="0" applyNumberFormat="1" applyFont="1" applyFill="1" applyBorder="1" applyAlignment="1">
      <alignment horizontal="left" vertical="center" wrapText="1"/>
    </xf>
    <xf numFmtId="0" fontId="4" fillId="2" borderId="9" xfId="0" applyFont="1" applyFill="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xf>
    <xf numFmtId="167" fontId="22" fillId="19" borderId="29" xfId="2" applyNumberFormat="1" applyFont="1" applyFill="1" applyBorder="1" applyAlignment="1">
      <alignment horizontal="center" vertical="center"/>
    </xf>
    <xf numFmtId="167" fontId="45" fillId="19" borderId="29" xfId="2" applyNumberFormat="1" applyFont="1" applyFill="1" applyBorder="1" applyAlignment="1">
      <alignment horizontal="center" vertical="center"/>
    </xf>
    <xf numFmtId="167" fontId="4" fillId="19" borderId="29" xfId="2" applyNumberFormat="1" applyFont="1" applyFill="1" applyBorder="1" applyAlignment="1">
      <alignment horizontal="center" vertical="center"/>
    </xf>
    <xf numFmtId="167" fontId="22" fillId="19" borderId="59" xfId="2" applyNumberFormat="1" applyFont="1" applyFill="1" applyBorder="1" applyAlignment="1">
      <alignment horizontal="center" vertical="center"/>
    </xf>
    <xf numFmtId="167" fontId="22" fillId="19" borderId="24" xfId="2" applyNumberFormat="1" applyFont="1" applyFill="1" applyBorder="1" applyAlignment="1">
      <alignment horizontal="center" vertical="center"/>
    </xf>
    <xf numFmtId="9" fontId="22" fillId="19" borderId="29" xfId="2" applyNumberFormat="1" applyFont="1" applyFill="1" applyBorder="1" applyAlignment="1">
      <alignment horizontal="center" vertical="center"/>
    </xf>
    <xf numFmtId="9" fontId="22" fillId="19" borderId="59" xfId="2" applyNumberFormat="1" applyFont="1" applyFill="1" applyBorder="1" applyAlignment="1">
      <alignment horizontal="center" vertical="center"/>
    </xf>
    <xf numFmtId="167" fontId="23" fillId="19" borderId="29" xfId="0" applyNumberFormat="1" applyFont="1" applyFill="1" applyBorder="1" applyAlignment="1">
      <alignment horizontal="center" vertical="center"/>
    </xf>
    <xf numFmtId="167" fontId="22" fillId="19" borderId="29" xfId="0" applyNumberFormat="1" applyFont="1" applyFill="1" applyBorder="1" applyAlignment="1">
      <alignment horizontal="center" vertical="center"/>
    </xf>
    <xf numFmtId="167" fontId="22" fillId="19" borderId="59" xfId="0" applyNumberFormat="1" applyFont="1" applyFill="1" applyBorder="1" applyAlignment="1">
      <alignment horizontal="center" vertical="center"/>
    </xf>
    <xf numFmtId="167" fontId="22" fillId="19" borderId="24" xfId="0" applyNumberFormat="1" applyFont="1" applyFill="1" applyBorder="1" applyAlignment="1">
      <alignment horizontal="center" vertical="center"/>
    </xf>
    <xf numFmtId="0" fontId="22" fillId="19" borderId="29" xfId="0" applyFont="1" applyFill="1" applyBorder="1" applyAlignment="1">
      <alignment horizontal="center" vertical="center"/>
    </xf>
    <xf numFmtId="0" fontId="22" fillId="19" borderId="59" xfId="0" applyFont="1" applyFill="1" applyBorder="1" applyAlignment="1">
      <alignment horizontal="center" vertical="center"/>
    </xf>
    <xf numFmtId="3" fontId="22" fillId="19" borderId="29" xfId="0" applyNumberFormat="1" applyFont="1" applyFill="1" applyBorder="1" applyAlignment="1">
      <alignment horizontal="center" vertical="center"/>
    </xf>
    <xf numFmtId="3" fontId="4" fillId="19" borderId="29" xfId="0" applyNumberFormat="1" applyFont="1" applyFill="1" applyBorder="1" applyAlignment="1">
      <alignment horizontal="center" vertical="center"/>
    </xf>
    <xf numFmtId="0" fontId="4" fillId="4" borderId="0" xfId="0" applyFont="1" applyFill="1" applyBorder="1" applyAlignment="1">
      <alignment vertical="center" wrapText="1"/>
    </xf>
    <xf numFmtId="168" fontId="22" fillId="3" borderId="29" xfId="1" applyNumberFormat="1" applyFont="1" applyFill="1" applyBorder="1" applyAlignment="1">
      <alignment vertical="center"/>
    </xf>
    <xf numFmtId="168" fontId="22" fillId="3" borderId="29" xfId="1" applyNumberFormat="1" applyFont="1" applyFill="1" applyBorder="1" applyAlignment="1">
      <alignment horizontal="center" vertical="center"/>
    </xf>
    <xf numFmtId="0" fontId="22" fillId="4" borderId="29" xfId="0" applyNumberFormat="1" applyFont="1" applyFill="1" applyBorder="1" applyAlignment="1">
      <alignment horizontal="center" vertical="center"/>
    </xf>
    <xf numFmtId="0" fontId="4" fillId="0" borderId="24" xfId="0" applyFont="1" applyBorder="1" applyAlignment="1">
      <alignment horizontal="center" vertical="center" wrapText="1"/>
    </xf>
    <xf numFmtId="167" fontId="38" fillId="4" borderId="59" xfId="0" applyNumberFormat="1" applyFont="1" applyFill="1" applyBorder="1" applyAlignment="1">
      <alignment horizontal="center" vertical="center"/>
    </xf>
    <xf numFmtId="1" fontId="45" fillId="19" borderId="29" xfId="2" applyNumberFormat="1" applyFont="1" applyFill="1" applyBorder="1" applyAlignment="1">
      <alignment horizontal="center" vertical="center"/>
    </xf>
    <xf numFmtId="0" fontId="38" fillId="4" borderId="24" xfId="0" applyFont="1" applyFill="1" applyBorder="1" applyAlignment="1">
      <alignment horizontal="center" vertical="center"/>
    </xf>
    <xf numFmtId="1" fontId="34" fillId="0" borderId="78" xfId="0" applyNumberFormat="1" applyFont="1" applyBorder="1" applyAlignment="1">
      <alignment horizontal="center" vertical="center" wrapText="1"/>
    </xf>
    <xf numFmtId="1" fontId="34" fillId="0" borderId="43" xfId="0" applyNumberFormat="1" applyFont="1" applyBorder="1" applyAlignment="1">
      <alignment horizontal="center"/>
    </xf>
    <xf numFmtId="3" fontId="34" fillId="0" borderId="39" xfId="0" applyNumberFormat="1" applyFont="1" applyBorder="1" applyAlignment="1">
      <alignment horizontal="center"/>
    </xf>
    <xf numFmtId="172" fontId="34" fillId="0" borderId="37" xfId="0" applyNumberFormat="1" applyFont="1" applyBorder="1" applyAlignment="1">
      <alignment horizontal="center"/>
    </xf>
    <xf numFmtId="172" fontId="34" fillId="0" borderId="18" xfId="0" applyNumberFormat="1" applyFont="1" applyBorder="1" applyAlignment="1">
      <alignment horizontal="center"/>
    </xf>
    <xf numFmtId="1" fontId="34" fillId="0" borderId="2" xfId="0" applyNumberFormat="1" applyFont="1" applyBorder="1" applyAlignment="1">
      <alignment horizontal="center" vertical="center" wrapText="1"/>
    </xf>
    <xf numFmtId="3" fontId="34" fillId="0" borderId="37" xfId="0" applyNumberFormat="1" applyFont="1" applyBorder="1" applyAlignment="1">
      <alignment horizontal="center" vertical="center" wrapText="1"/>
    </xf>
    <xf numFmtId="1" fontId="34" fillId="0" borderId="18" xfId="0" applyNumberFormat="1" applyFont="1" applyBorder="1" applyAlignment="1">
      <alignment horizontal="center" vertical="center"/>
    </xf>
    <xf numFmtId="1" fontId="45" fillId="4" borderId="31" xfId="0" applyNumberFormat="1" applyFont="1" applyFill="1" applyBorder="1" applyAlignment="1">
      <alignment horizontal="center"/>
    </xf>
    <xf numFmtId="9" fontId="45" fillId="0" borderId="38" xfId="0" applyNumberFormat="1" applyFont="1" applyBorder="1" applyAlignment="1">
      <alignment horizontal="center"/>
    </xf>
    <xf numFmtId="3" fontId="45" fillId="0" borderId="43" xfId="0" applyNumberFormat="1" applyFont="1" applyBorder="1" applyAlignment="1">
      <alignment horizontal="center"/>
    </xf>
    <xf numFmtId="3" fontId="45" fillId="0" borderId="39" xfId="0" applyNumberFormat="1" applyFont="1" applyBorder="1" applyAlignment="1">
      <alignment horizontal="center"/>
    </xf>
    <xf numFmtId="9" fontId="45" fillId="0" borderId="1" xfId="0" applyNumberFormat="1" applyFont="1" applyBorder="1" applyAlignment="1">
      <alignment horizontal="center"/>
    </xf>
    <xf numFmtId="3" fontId="45" fillId="0" borderId="31" xfId="0" applyNumberFormat="1" applyFont="1" applyBorder="1" applyAlignment="1">
      <alignment horizontal="center"/>
    </xf>
    <xf numFmtId="3" fontId="45" fillId="0" borderId="33" xfId="0" applyNumberFormat="1" applyFont="1" applyBorder="1" applyAlignment="1">
      <alignment horizontal="center"/>
    </xf>
    <xf numFmtId="167" fontId="45" fillId="4" borderId="38" xfId="0" applyNumberFormat="1" applyFont="1" applyFill="1" applyBorder="1" applyAlignment="1">
      <alignment horizontal="center"/>
    </xf>
    <xf numFmtId="167" fontId="45" fillId="4" borderId="1" xfId="0" applyNumberFormat="1" applyFont="1" applyFill="1" applyBorder="1" applyAlignment="1">
      <alignment horizontal="center"/>
    </xf>
    <xf numFmtId="0" fontId="5" fillId="0" borderId="62" xfId="0" applyFont="1" applyBorder="1" applyAlignment="1">
      <alignment horizontal="center"/>
    </xf>
    <xf numFmtId="3" fontId="46" fillId="0" borderId="28" xfId="0" applyNumberFormat="1" applyFont="1" applyBorder="1" applyAlignment="1">
      <alignment horizontal="center"/>
    </xf>
    <xf numFmtId="0" fontId="4" fillId="0" borderId="73" xfId="0" applyFont="1" applyBorder="1" applyAlignment="1">
      <alignment horizontal="center"/>
    </xf>
    <xf numFmtId="3" fontId="4" fillId="0" borderId="46" xfId="0" applyNumberFormat="1" applyFont="1" applyBorder="1" applyAlignment="1">
      <alignment horizontal="center"/>
    </xf>
    <xf numFmtId="3" fontId="4" fillId="0" borderId="34" xfId="0" applyNumberFormat="1" applyFont="1" applyBorder="1" applyAlignment="1">
      <alignment horizontal="center"/>
    </xf>
    <xf numFmtId="4" fontId="38" fillId="4" borderId="29" xfId="0" applyNumberFormat="1" applyFont="1" applyFill="1" applyBorder="1" applyAlignment="1">
      <alignment horizontal="left"/>
    </xf>
    <xf numFmtId="0" fontId="38" fillId="4" borderId="30" xfId="0" applyFont="1" applyFill="1" applyBorder="1" applyAlignment="1">
      <alignment horizontal="center"/>
    </xf>
    <xf numFmtId="0" fontId="38" fillId="4" borderId="31" xfId="0" applyFont="1" applyFill="1" applyBorder="1" applyAlignment="1">
      <alignment horizontal="center"/>
    </xf>
    <xf numFmtId="0" fontId="36" fillId="4" borderId="0" xfId="0" applyFont="1" applyFill="1"/>
    <xf numFmtId="0" fontId="38" fillId="0" borderId="30" xfId="0" applyFont="1" applyBorder="1" applyAlignment="1">
      <alignment horizontal="center"/>
    </xf>
    <xf numFmtId="0" fontId="38" fillId="0" borderId="52" xfId="0" applyFont="1" applyBorder="1" applyAlignment="1">
      <alignment horizontal="center"/>
    </xf>
    <xf numFmtId="3" fontId="38" fillId="0" borderId="52" xfId="0" applyNumberFormat="1" applyFont="1" applyBorder="1" applyAlignment="1">
      <alignment horizontal="center"/>
    </xf>
    <xf numFmtId="3" fontId="38" fillId="0" borderId="41" xfId="0" applyNumberFormat="1" applyFont="1" applyBorder="1" applyAlignment="1">
      <alignment horizontal="center"/>
    </xf>
    <xf numFmtId="3" fontId="5" fillId="4" borderId="28" xfId="0" applyNumberFormat="1" applyFont="1" applyFill="1" applyBorder="1" applyAlignment="1">
      <alignment horizontal="center"/>
    </xf>
    <xf numFmtId="3" fontId="38" fillId="4" borderId="30" xfId="0" applyNumberFormat="1" applyFont="1" applyFill="1" applyBorder="1" applyAlignment="1">
      <alignment horizontal="center"/>
    </xf>
    <xf numFmtId="3" fontId="38" fillId="4" borderId="58" xfId="0" applyNumberFormat="1" applyFont="1" applyFill="1" applyBorder="1" applyAlignment="1">
      <alignment horizontal="center"/>
    </xf>
    <xf numFmtId="0" fontId="34" fillId="14" borderId="0" xfId="0" applyFont="1" applyFill="1" applyAlignment="1">
      <alignment vertical="center"/>
    </xf>
    <xf numFmtId="3" fontId="48" fillId="14" borderId="29" xfId="0" applyNumberFormat="1" applyFont="1" applyFill="1" applyBorder="1" applyAlignment="1">
      <alignment horizontal="left" vertical="center" wrapText="1"/>
    </xf>
    <xf numFmtId="3" fontId="48" fillId="14" borderId="59" xfId="0" applyNumberFormat="1" applyFont="1" applyFill="1" applyBorder="1" applyAlignment="1">
      <alignment horizontal="left" vertical="center" wrapText="1"/>
    </xf>
    <xf numFmtId="0" fontId="34" fillId="4" borderId="0" xfId="0" applyFont="1" applyFill="1" applyAlignment="1">
      <alignment vertical="center"/>
    </xf>
    <xf numFmtId="0" fontId="4" fillId="4" borderId="30" xfId="0" applyFont="1" applyFill="1" applyBorder="1" applyAlignment="1">
      <alignment horizontal="center" vertical="center" wrapText="1"/>
    </xf>
    <xf numFmtId="0" fontId="4" fillId="4" borderId="75" xfId="0" applyFont="1" applyFill="1" applyBorder="1" applyAlignment="1">
      <alignment horizontal="center" vertical="center" wrapText="1"/>
    </xf>
    <xf numFmtId="167" fontId="4" fillId="4" borderId="17" xfId="0" applyNumberFormat="1" applyFont="1" applyFill="1" applyBorder="1" applyAlignment="1">
      <alignment horizontal="center" vertical="center"/>
    </xf>
    <xf numFmtId="3" fontId="48" fillId="4" borderId="30" xfId="0" applyNumberFormat="1" applyFont="1" applyFill="1" applyBorder="1" applyAlignment="1">
      <alignment horizontal="center" vertical="center"/>
    </xf>
    <xf numFmtId="0" fontId="5" fillId="4" borderId="30" xfId="0" applyFont="1" applyFill="1" applyBorder="1" applyAlignment="1">
      <alignment horizontal="center"/>
    </xf>
    <xf numFmtId="4" fontId="45" fillId="4" borderId="2" xfId="0" applyNumberFormat="1" applyFont="1" applyFill="1" applyBorder="1" applyAlignment="1">
      <alignment horizontal="center"/>
    </xf>
    <xf numFmtId="3" fontId="45" fillId="4" borderId="37" xfId="0" applyNumberFormat="1" applyFont="1" applyFill="1" applyBorder="1" applyAlignment="1">
      <alignment horizontal="center"/>
    </xf>
    <xf numFmtId="3" fontId="45" fillId="4" borderId="18" xfId="0" applyNumberFormat="1" applyFont="1" applyFill="1" applyBorder="1" applyAlignment="1">
      <alignment horizontal="center"/>
    </xf>
    <xf numFmtId="167" fontId="4" fillId="7" borderId="26" xfId="0" applyNumberFormat="1" applyFont="1" applyFill="1" applyBorder="1" applyAlignment="1">
      <alignment horizontal="center"/>
    </xf>
    <xf numFmtId="167" fontId="4" fillId="7" borderId="3" xfId="0" applyNumberFormat="1" applyFont="1" applyFill="1" applyBorder="1" applyAlignment="1">
      <alignment horizontal="center"/>
    </xf>
    <xf numFmtId="0" fontId="31" fillId="4" borderId="0" xfId="0" applyFont="1" applyFill="1" applyBorder="1" applyAlignment="1">
      <alignment horizontal="center" vertical="center"/>
    </xf>
    <xf numFmtId="0" fontId="31" fillId="4" borderId="0" xfId="0" applyFont="1" applyFill="1" applyBorder="1" applyAlignment="1">
      <alignment vertical="center" wrapText="1"/>
    </xf>
    <xf numFmtId="0" fontId="31" fillId="4" borderId="0" xfId="0" applyFont="1" applyFill="1" applyBorder="1" applyAlignment="1">
      <alignment horizontal="center" vertical="center" wrapText="1"/>
    </xf>
    <xf numFmtId="0" fontId="31" fillId="4" borderId="0" xfId="0" applyFont="1" applyFill="1" applyBorder="1" applyAlignment="1">
      <alignment horizontal="left" vertical="center" wrapText="1"/>
    </xf>
    <xf numFmtId="0" fontId="73" fillId="0" borderId="4" xfId="0" applyFont="1" applyBorder="1" applyAlignment="1">
      <alignment horizontal="center" vertical="center" wrapText="1"/>
    </xf>
    <xf numFmtId="0" fontId="73" fillId="0" borderId="5" xfId="0" applyFont="1" applyBorder="1" applyAlignment="1">
      <alignment horizontal="center" vertical="center" wrapText="1"/>
    </xf>
    <xf numFmtId="0" fontId="5" fillId="0" borderId="26" xfId="0" applyFont="1" applyBorder="1" applyAlignment="1">
      <alignment horizontal="left" vertical="center" wrapText="1"/>
    </xf>
    <xf numFmtId="167" fontId="22" fillId="19" borderId="26" xfId="2" applyNumberFormat="1" applyFont="1" applyFill="1" applyBorder="1" applyAlignment="1">
      <alignment horizontal="center" vertical="center"/>
    </xf>
    <xf numFmtId="167" fontId="22" fillId="0" borderId="61" xfId="2" applyNumberFormat="1" applyFont="1" applyBorder="1" applyAlignment="1">
      <alignment horizontal="center" vertical="center"/>
    </xf>
    <xf numFmtId="168" fontId="5" fillId="0" borderId="26" xfId="1" applyNumberFormat="1" applyFont="1" applyFill="1" applyBorder="1" applyAlignment="1">
      <alignment horizontal="right" vertical="center"/>
    </xf>
    <xf numFmtId="168" fontId="22" fillId="0" borderId="26" xfId="1" applyNumberFormat="1" applyFont="1" applyFill="1" applyBorder="1" applyAlignment="1">
      <alignment horizontal="right" vertical="center"/>
    </xf>
    <xf numFmtId="0" fontId="22" fillId="0" borderId="61" xfId="0" applyFont="1" applyBorder="1" applyAlignment="1">
      <alignment horizontal="center" vertical="center"/>
    </xf>
    <xf numFmtId="0" fontId="5" fillId="0" borderId="26"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3" fontId="34" fillId="0" borderId="1" xfId="0" applyNumberFormat="1" applyFont="1" applyBorder="1" applyAlignment="1">
      <alignment horizontal="center" vertical="center"/>
    </xf>
    <xf numFmtId="3" fontId="34" fillId="0" borderId="31" xfId="0" applyNumberFormat="1" applyFont="1" applyBorder="1" applyAlignment="1">
      <alignment horizontal="center" vertical="center"/>
    </xf>
    <xf numFmtId="3" fontId="34" fillId="0" borderId="33" xfId="0" applyNumberFormat="1" applyFont="1" applyBorder="1" applyAlignment="1">
      <alignment horizontal="center" vertical="center"/>
    </xf>
    <xf numFmtId="3" fontId="34" fillId="0" borderId="30" xfId="0" applyNumberFormat="1" applyFont="1" applyBorder="1" applyAlignment="1">
      <alignment horizontal="center" vertical="center"/>
    </xf>
    <xf numFmtId="3" fontId="34" fillId="0" borderId="45" xfId="0" applyNumberFormat="1" applyFont="1" applyBorder="1" applyAlignment="1">
      <alignment horizontal="center" vertical="center"/>
    </xf>
    <xf numFmtId="1" fontId="34" fillId="0" borderId="17" xfId="0" applyNumberFormat="1" applyFont="1" applyBorder="1" applyAlignment="1">
      <alignment horizontal="center" vertical="center"/>
    </xf>
    <xf numFmtId="3" fontId="34" fillId="0" borderId="37" xfId="0" applyNumberFormat="1" applyFont="1" applyBorder="1" applyAlignment="1">
      <alignment horizontal="center" vertical="center"/>
    </xf>
    <xf numFmtId="3" fontId="34" fillId="0" borderId="18" xfId="0" applyNumberFormat="1" applyFont="1" applyBorder="1" applyAlignment="1">
      <alignment horizontal="center" vertical="center"/>
    </xf>
    <xf numFmtId="3" fontId="34" fillId="0" borderId="2" xfId="0" applyNumberFormat="1" applyFont="1" applyBorder="1" applyAlignment="1">
      <alignment horizontal="center" vertical="center"/>
    </xf>
    <xf numFmtId="3" fontId="34" fillId="0" borderId="18" xfId="0" applyNumberFormat="1" applyFont="1" applyBorder="1" applyAlignment="1">
      <alignment horizontal="center" vertical="center" wrapText="1"/>
    </xf>
    <xf numFmtId="3" fontId="34" fillId="0" borderId="50" xfId="0" applyNumberFormat="1" applyFont="1" applyBorder="1" applyAlignment="1">
      <alignment horizontal="center"/>
    </xf>
    <xf numFmtId="3" fontId="34" fillId="0" borderId="28" xfId="0" applyNumberFormat="1" applyFont="1" applyBorder="1" applyAlignment="1">
      <alignment horizontal="center"/>
    </xf>
    <xf numFmtId="3" fontId="34" fillId="0" borderId="22" xfId="0" applyNumberFormat="1" applyFont="1" applyBorder="1" applyAlignment="1">
      <alignment horizontal="center"/>
    </xf>
    <xf numFmtId="3" fontId="34" fillId="0" borderId="27" xfId="0" applyNumberFormat="1" applyFont="1" applyBorder="1" applyAlignment="1">
      <alignment horizontal="center"/>
    </xf>
    <xf numFmtId="3" fontId="34" fillId="0" borderId="1" xfId="0" applyNumberFormat="1" applyFont="1" applyBorder="1" applyAlignment="1">
      <alignment horizontal="center"/>
    </xf>
    <xf numFmtId="3" fontId="34" fillId="0" borderId="31" xfId="0" applyNumberFormat="1" applyFont="1" applyBorder="1" applyAlignment="1">
      <alignment horizontal="center"/>
    </xf>
    <xf numFmtId="3" fontId="34" fillId="0" borderId="33" xfId="0" applyNumberFormat="1" applyFont="1" applyBorder="1" applyAlignment="1">
      <alignment horizontal="center"/>
    </xf>
    <xf numFmtId="3" fontId="34" fillId="0" borderId="30" xfId="0" applyNumberFormat="1" applyFont="1" applyBorder="1" applyAlignment="1">
      <alignment horizontal="center"/>
    </xf>
    <xf numFmtId="0" fontId="34" fillId="0" borderId="26" xfId="0" applyFont="1" applyBorder="1" applyAlignment="1">
      <alignment horizontal="center" vertical="center"/>
    </xf>
    <xf numFmtId="3" fontId="34" fillId="0" borderId="29" xfId="0" applyNumberFormat="1" applyFont="1" applyBorder="1" applyAlignment="1">
      <alignment horizontal="center" vertical="center"/>
    </xf>
    <xf numFmtId="3" fontId="34" fillId="0" borderId="29" xfId="0" applyNumberFormat="1" applyFont="1" applyBorder="1" applyAlignment="1">
      <alignment horizontal="center"/>
    </xf>
    <xf numFmtId="0" fontId="34" fillId="0" borderId="29" xfId="0" applyFont="1" applyBorder="1" applyAlignment="1">
      <alignment horizontal="center" vertical="center"/>
    </xf>
    <xf numFmtId="0" fontId="34" fillId="0" borderId="29" xfId="0" applyFont="1" applyBorder="1" applyAlignment="1">
      <alignment horizontal="center"/>
    </xf>
    <xf numFmtId="0" fontId="2" fillId="0" borderId="0" xfId="0" applyFont="1" applyBorder="1" applyAlignment="1">
      <alignment vertical="center"/>
    </xf>
    <xf numFmtId="3" fontId="34" fillId="0" borderId="17" xfId="0" applyNumberFormat="1" applyFont="1" applyBorder="1" applyAlignment="1">
      <alignment horizontal="center" vertical="center"/>
    </xf>
    <xf numFmtId="3" fontId="34" fillId="0" borderId="59" xfId="0" applyNumberFormat="1" applyFont="1" applyBorder="1" applyAlignment="1">
      <alignment vertical="center"/>
    </xf>
    <xf numFmtId="0" fontId="2" fillId="0" borderId="0" xfId="0" applyFont="1" applyAlignment="1">
      <alignment horizontal="center" vertical="center"/>
    </xf>
    <xf numFmtId="0" fontId="34" fillId="0" borderId="2" xfId="0" applyFont="1" applyBorder="1" applyAlignment="1">
      <alignment horizontal="center" vertical="center" wrapText="1"/>
    </xf>
    <xf numFmtId="0" fontId="34" fillId="0" borderId="37" xfId="0" applyFont="1" applyBorder="1" applyAlignment="1">
      <alignment horizontal="center" vertical="center" wrapText="1"/>
    </xf>
    <xf numFmtId="1" fontId="34" fillId="0" borderId="35" xfId="0" applyNumberFormat="1" applyFont="1" applyBorder="1" applyAlignment="1">
      <alignment horizontal="center" vertical="center"/>
    </xf>
    <xf numFmtId="1" fontId="34" fillId="0" borderId="28" xfId="0" applyNumberFormat="1" applyFont="1" applyBorder="1" applyAlignment="1">
      <alignment horizontal="center" vertical="center"/>
    </xf>
    <xf numFmtId="3" fontId="34" fillId="0" borderId="28" xfId="0" applyNumberFormat="1" applyFont="1" applyBorder="1" applyAlignment="1">
      <alignment horizontal="center" vertical="center"/>
    </xf>
    <xf numFmtId="3" fontId="34" fillId="0" borderId="50" xfId="0" applyNumberFormat="1" applyFont="1" applyBorder="1" applyAlignment="1">
      <alignment horizontal="center" vertical="center"/>
    </xf>
    <xf numFmtId="0" fontId="34" fillId="0" borderId="28" xfId="0" applyFont="1" applyBorder="1" applyAlignment="1">
      <alignment horizontal="center" vertical="center"/>
    </xf>
    <xf numFmtId="1" fontId="34" fillId="0" borderId="22" xfId="0" applyNumberFormat="1" applyFont="1" applyBorder="1" applyAlignment="1">
      <alignment horizontal="center" vertical="center"/>
    </xf>
    <xf numFmtId="0" fontId="34" fillId="0" borderId="51" xfId="0" applyFont="1" applyBorder="1" applyAlignment="1">
      <alignment horizontal="center" vertical="center"/>
    </xf>
    <xf numFmtId="3" fontId="34" fillId="0" borderId="22" xfId="0" applyNumberFormat="1" applyFont="1" applyBorder="1" applyAlignment="1">
      <alignment horizontal="center" vertical="center"/>
    </xf>
    <xf numFmtId="1" fontId="34" fillId="0" borderId="48" xfId="0" applyNumberFormat="1" applyFont="1" applyBorder="1" applyAlignment="1">
      <alignment horizontal="center" vertical="center"/>
    </xf>
    <xf numFmtId="1" fontId="34" fillId="0" borderId="31" xfId="0" applyNumberFormat="1" applyFont="1" applyBorder="1" applyAlignment="1">
      <alignment horizontal="center" vertical="center"/>
    </xf>
    <xf numFmtId="0" fontId="34" fillId="0" borderId="31" xfId="0" applyFont="1" applyBorder="1" applyAlignment="1">
      <alignment horizontal="center" vertical="center"/>
    </xf>
    <xf numFmtId="1" fontId="34" fillId="0" borderId="33" xfId="0" applyNumberFormat="1" applyFont="1" applyBorder="1" applyAlignment="1">
      <alignment horizontal="center" vertical="center"/>
    </xf>
    <xf numFmtId="0" fontId="34" fillId="0" borderId="45" xfId="0" applyFont="1" applyBorder="1" applyAlignment="1">
      <alignment horizontal="center" vertical="center"/>
    </xf>
    <xf numFmtId="3" fontId="34" fillId="0" borderId="48" xfId="0" applyNumberFormat="1" applyFont="1" applyBorder="1" applyAlignment="1">
      <alignment horizontal="center" vertical="center"/>
    </xf>
    <xf numFmtId="3" fontId="34" fillId="0" borderId="16" xfId="0" applyNumberFormat="1" applyFont="1" applyBorder="1" applyAlignment="1">
      <alignment horizontal="center" vertical="center"/>
    </xf>
    <xf numFmtId="0" fontId="34" fillId="0" borderId="0" xfId="0" applyFont="1" applyAlignment="1">
      <alignment horizontal="center" vertical="center"/>
    </xf>
    <xf numFmtId="3" fontId="34" fillId="0" borderId="75" xfId="0" applyNumberFormat="1" applyFont="1" applyBorder="1" applyAlignment="1">
      <alignment horizontal="center" vertical="center"/>
    </xf>
    <xf numFmtId="1" fontId="34" fillId="0" borderId="18" xfId="0" applyNumberFormat="1" applyFont="1" applyBorder="1" applyAlignment="1">
      <alignment horizontal="center" vertical="center" wrapText="1"/>
    </xf>
    <xf numFmtId="1" fontId="34" fillId="0" borderId="17" xfId="0" applyNumberFormat="1" applyFont="1" applyBorder="1" applyAlignment="1">
      <alignment horizontal="center" vertical="center" wrapText="1"/>
    </xf>
    <xf numFmtId="9" fontId="34" fillId="0" borderId="28" xfId="0" applyNumberFormat="1" applyFont="1" applyBorder="1" applyAlignment="1">
      <alignment horizontal="center" vertical="center"/>
    </xf>
    <xf numFmtId="0" fontId="34" fillId="0" borderId="27" xfId="0" applyFont="1" applyBorder="1" applyAlignment="1">
      <alignment horizontal="center" vertical="center"/>
    </xf>
    <xf numFmtId="0" fontId="34" fillId="0" borderId="50" xfId="0" applyFont="1" applyBorder="1" applyAlignment="1">
      <alignment horizontal="center" vertical="center"/>
    </xf>
    <xf numFmtId="3" fontId="34" fillId="0" borderId="27" xfId="0" applyNumberFormat="1" applyFont="1" applyBorder="1" applyAlignment="1">
      <alignment horizontal="center" vertical="center"/>
    </xf>
    <xf numFmtId="9" fontId="34" fillId="0" borderId="31" xfId="0" applyNumberFormat="1" applyFont="1" applyBorder="1" applyAlignment="1">
      <alignment horizontal="center" vertical="center"/>
    </xf>
    <xf numFmtId="0" fontId="34" fillId="0" borderId="30" xfId="0" applyFont="1" applyBorder="1" applyAlignment="1">
      <alignment horizontal="center" vertical="center"/>
    </xf>
    <xf numFmtId="0" fontId="34" fillId="0" borderId="1" xfId="0" applyFont="1" applyBorder="1" applyAlignment="1">
      <alignment horizontal="center" vertical="center"/>
    </xf>
    <xf numFmtId="3" fontId="34" fillId="0" borderId="19" xfId="0" applyNumberFormat="1" applyFont="1" applyBorder="1" applyAlignment="1">
      <alignment horizontal="center" vertical="center"/>
    </xf>
    <xf numFmtId="3" fontId="34" fillId="0" borderId="72" xfId="0" applyNumberFormat="1" applyFont="1" applyBorder="1" applyAlignment="1">
      <alignment horizontal="center" vertical="center"/>
    </xf>
    <xf numFmtId="3" fontId="34" fillId="0" borderId="0" xfId="0" applyNumberFormat="1" applyFont="1" applyBorder="1" applyAlignment="1">
      <alignment horizontal="center" vertical="center"/>
    </xf>
    <xf numFmtId="3" fontId="34" fillId="0" borderId="0" xfId="0" applyNumberFormat="1" applyFont="1" applyAlignment="1">
      <alignment horizontal="center" vertical="center"/>
    </xf>
    <xf numFmtId="3" fontId="34" fillId="0" borderId="0" xfId="0" applyNumberFormat="1" applyFont="1" applyAlignment="1">
      <alignment vertical="center"/>
    </xf>
    <xf numFmtId="167" fontId="22" fillId="3" borderId="58" xfId="1" applyNumberFormat="1" applyFont="1" applyFill="1" applyBorder="1" applyAlignment="1">
      <alignment horizontal="right" vertical="center"/>
    </xf>
    <xf numFmtId="0" fontId="5" fillId="0" borderId="4" xfId="0" applyFont="1" applyBorder="1" applyAlignment="1">
      <alignment vertical="center"/>
    </xf>
    <xf numFmtId="0" fontId="5" fillId="0" borderId="13" xfId="0" applyFont="1" applyBorder="1" applyAlignment="1">
      <alignment vertical="center"/>
    </xf>
    <xf numFmtId="0" fontId="31" fillId="4" borderId="12" xfId="0" applyFont="1" applyFill="1" applyBorder="1" applyAlignment="1">
      <alignment vertical="center" wrapText="1"/>
    </xf>
    <xf numFmtId="0" fontId="31" fillId="4" borderId="12" xfId="0" applyFont="1" applyFill="1" applyBorder="1" applyAlignment="1">
      <alignment horizontal="center" vertical="center" wrapText="1"/>
    </xf>
    <xf numFmtId="0" fontId="31" fillId="4" borderId="12" xfId="0" applyFont="1" applyFill="1" applyBorder="1" applyAlignment="1">
      <alignment horizontal="left" vertical="center" wrapText="1"/>
    </xf>
    <xf numFmtId="0" fontId="4" fillId="4" borderId="12" xfId="0" applyFont="1" applyFill="1" applyBorder="1" applyAlignment="1">
      <alignment vertical="center" wrapText="1"/>
    </xf>
    <xf numFmtId="0" fontId="19" fillId="0" borderId="14" xfId="0" applyFont="1" applyBorder="1" applyAlignment="1">
      <alignment vertical="center"/>
    </xf>
    <xf numFmtId="0" fontId="19" fillId="0" borderId="11" xfId="0" applyFont="1" applyBorder="1" applyAlignment="1">
      <alignment vertical="center"/>
    </xf>
    <xf numFmtId="0" fontId="67" fillId="0" borderId="6" xfId="0" applyFont="1" applyBorder="1" applyAlignment="1">
      <alignment vertical="center"/>
    </xf>
    <xf numFmtId="0" fontId="31" fillId="14" borderId="47" xfId="0" applyFont="1" applyFill="1" applyBorder="1" applyAlignment="1">
      <alignment horizontal="center" vertical="center"/>
    </xf>
    <xf numFmtId="0" fontId="31" fillId="14" borderId="34" xfId="0" applyFont="1" applyFill="1" applyBorder="1" applyAlignment="1">
      <alignment horizontal="center" vertical="center" wrapText="1"/>
    </xf>
    <xf numFmtId="3" fontId="69" fillId="14" borderId="51" xfId="0" applyNumberFormat="1" applyFont="1" applyFill="1" applyBorder="1" applyAlignment="1">
      <alignment horizontal="center" vertical="center"/>
    </xf>
    <xf numFmtId="3" fontId="69" fillId="14" borderId="22" xfId="0" applyNumberFormat="1" applyFont="1" applyFill="1" applyBorder="1" applyAlignment="1">
      <alignment horizontal="center" vertical="center"/>
    </xf>
    <xf numFmtId="3" fontId="31" fillId="14" borderId="31" xfId="0" applyNumberFormat="1" applyFont="1" applyFill="1" applyBorder="1" applyAlignment="1">
      <alignment horizontal="center" vertical="center"/>
    </xf>
    <xf numFmtId="3" fontId="69" fillId="14" borderId="31" xfId="0" applyNumberFormat="1" applyFont="1" applyFill="1" applyBorder="1" applyAlignment="1">
      <alignment horizontal="center" vertical="center"/>
    </xf>
    <xf numFmtId="3" fontId="69" fillId="14" borderId="52" xfId="0" applyNumberFormat="1" applyFont="1" applyFill="1" applyBorder="1" applyAlignment="1">
      <alignment horizontal="center" vertical="center"/>
    </xf>
    <xf numFmtId="3" fontId="69" fillId="14" borderId="15" xfId="0" applyNumberFormat="1" applyFont="1" applyFill="1" applyBorder="1" applyAlignment="1">
      <alignment horizontal="center" vertical="center"/>
    </xf>
    <xf numFmtId="3" fontId="31" fillId="14" borderId="53" xfId="0" applyNumberFormat="1" applyFont="1" applyFill="1" applyBorder="1" applyAlignment="1">
      <alignment horizontal="center" vertical="center"/>
    </xf>
    <xf numFmtId="3" fontId="69" fillId="14" borderId="54" xfId="0" applyNumberFormat="1" applyFont="1" applyFill="1" applyBorder="1" applyAlignment="1">
      <alignment horizontal="center" vertical="center"/>
    </xf>
    <xf numFmtId="3" fontId="31" fillId="14" borderId="1" xfId="0" applyNumberFormat="1" applyFont="1" applyFill="1" applyBorder="1" applyAlignment="1">
      <alignment horizontal="center"/>
    </xf>
    <xf numFmtId="3" fontId="31" fillId="14" borderId="1" xfId="0" applyNumberFormat="1" applyFont="1" applyFill="1" applyBorder="1" applyAlignment="1">
      <alignment horizontal="center" vertical="center"/>
    </xf>
    <xf numFmtId="3" fontId="31" fillId="14" borderId="31" xfId="0" applyNumberFormat="1" applyFont="1" applyFill="1" applyBorder="1" applyAlignment="1">
      <alignment horizontal="center"/>
    </xf>
    <xf numFmtId="3" fontId="14" fillId="16" borderId="48" xfId="0" applyNumberFormat="1" applyFont="1" applyFill="1" applyBorder="1" applyAlignment="1">
      <alignment horizontal="left" vertical="center" wrapText="1"/>
    </xf>
    <xf numFmtId="10" fontId="5" fillId="0" borderId="0" xfId="0" applyNumberFormat="1" applyFont="1" applyBorder="1" applyAlignment="1">
      <alignment horizontal="center"/>
    </xf>
    <xf numFmtId="167" fontId="55" fillId="4" borderId="0" xfId="2" applyNumberFormat="1" applyFont="1" applyFill="1" applyBorder="1" applyAlignment="1">
      <alignment horizontal="center" vertical="center"/>
    </xf>
    <xf numFmtId="0" fontId="61" fillId="4" borderId="0" xfId="2" applyNumberFormat="1" applyFont="1" applyFill="1" applyBorder="1" applyAlignment="1">
      <alignment horizontal="center" vertical="center" wrapText="1"/>
    </xf>
    <xf numFmtId="0" fontId="22" fillId="2" borderId="36" xfId="0" applyFont="1" applyFill="1" applyBorder="1" applyAlignment="1">
      <alignment horizontal="center" vertical="center" wrapText="1"/>
    </xf>
    <xf numFmtId="0" fontId="34" fillId="0" borderId="38" xfId="0" applyFont="1" applyBorder="1" applyAlignment="1">
      <alignment horizontal="center" vertical="center"/>
    </xf>
    <xf numFmtId="3" fontId="34" fillId="0" borderId="1" xfId="0" applyNumberFormat="1" applyFont="1" applyBorder="1" applyAlignment="1">
      <alignment horizontal="center" vertical="center"/>
    </xf>
    <xf numFmtId="3" fontId="34" fillId="0" borderId="31" xfId="0" applyNumberFormat="1" applyFont="1" applyBorder="1" applyAlignment="1">
      <alignment horizontal="center" vertical="center"/>
    </xf>
    <xf numFmtId="3" fontId="34" fillId="0" borderId="33" xfId="0" applyNumberFormat="1" applyFont="1" applyBorder="1" applyAlignment="1">
      <alignment horizontal="center" vertical="center"/>
    </xf>
    <xf numFmtId="0" fontId="67" fillId="0" borderId="8" xfId="0" applyFont="1" applyBorder="1" applyAlignment="1">
      <alignment vertical="center" wrapText="1"/>
    </xf>
    <xf numFmtId="0" fontId="67" fillId="0" borderId="0" xfId="0" applyFont="1" applyBorder="1" applyAlignment="1">
      <alignment vertical="center" wrapText="1"/>
    </xf>
    <xf numFmtId="0" fontId="67" fillId="0" borderId="12" xfId="0" applyFont="1" applyBorder="1" applyAlignment="1">
      <alignment vertical="center" wrapText="1"/>
    </xf>
    <xf numFmtId="0" fontId="67" fillId="0" borderId="8" xfId="0" applyFont="1" applyBorder="1" applyAlignment="1">
      <alignment horizontal="left" vertical="center"/>
    </xf>
    <xf numFmtId="0" fontId="67" fillId="0" borderId="0" xfId="0" applyFont="1" applyBorder="1" applyAlignment="1">
      <alignment horizontal="left" vertical="center"/>
    </xf>
    <xf numFmtId="0" fontId="67" fillId="0" borderId="12" xfId="0" applyFont="1" applyBorder="1" applyAlignment="1">
      <alignment horizontal="left" vertical="center"/>
    </xf>
    <xf numFmtId="0" fontId="67" fillId="0" borderId="8" xfId="0" applyFont="1" applyBorder="1" applyAlignment="1">
      <alignment vertical="center"/>
    </xf>
    <xf numFmtId="0" fontId="67" fillId="0" borderId="0" xfId="0" applyFont="1" applyBorder="1" applyAlignment="1">
      <alignment vertical="center"/>
    </xf>
    <xf numFmtId="0" fontId="31" fillId="16" borderId="73" xfId="0" applyFont="1" applyFill="1" applyBorder="1" applyAlignment="1">
      <alignment horizontal="center" vertical="center"/>
    </xf>
    <xf numFmtId="4" fontId="5" fillId="4" borderId="16" xfId="0" applyNumberFormat="1" applyFont="1" applyFill="1" applyBorder="1" applyAlignment="1">
      <alignment horizontal="left" vertical="center"/>
    </xf>
    <xf numFmtId="9" fontId="34" fillId="11" borderId="59" xfId="0" applyNumberFormat="1" applyFont="1" applyFill="1" applyBorder="1" applyAlignment="1">
      <alignment horizontal="center" vertical="center"/>
    </xf>
    <xf numFmtId="0" fontId="39" fillId="0" borderId="14" xfId="0" applyFont="1" applyBorder="1" applyAlignment="1">
      <alignment horizontal="center" vertical="center" wrapText="1"/>
    </xf>
    <xf numFmtId="0" fontId="15" fillId="0" borderId="3" xfId="0" applyFont="1" applyBorder="1" applyAlignment="1">
      <alignment horizontal="right" vertical="center"/>
    </xf>
    <xf numFmtId="0" fontId="74" fillId="0" borderId="29" xfId="0" applyFont="1" applyBorder="1" applyAlignment="1">
      <alignment horizontal="center" vertical="center" wrapText="1"/>
    </xf>
    <xf numFmtId="0" fontId="73" fillId="0" borderId="13" xfId="0" applyFont="1" applyBorder="1" applyAlignment="1">
      <alignment horizontal="center" vertical="center" wrapText="1"/>
    </xf>
    <xf numFmtId="0" fontId="77" fillId="0" borderId="0" xfId="0" applyFont="1"/>
    <xf numFmtId="0" fontId="78" fillId="0" borderId="0" xfId="0" applyFont="1"/>
    <xf numFmtId="167" fontId="76" fillId="0" borderId="60" xfId="0" applyNumberFormat="1" applyFont="1" applyBorder="1" applyAlignment="1">
      <alignment horizontal="center"/>
    </xf>
    <xf numFmtId="9" fontId="76" fillId="0" borderId="62" xfId="0" applyNumberFormat="1" applyFont="1" applyBorder="1" applyAlignment="1">
      <alignment horizontal="center"/>
    </xf>
    <xf numFmtId="9" fontId="76" fillId="0" borderId="62" xfId="0" applyNumberFormat="1" applyFont="1" applyBorder="1" applyAlignment="1">
      <alignment horizontal="center" vertical="center"/>
    </xf>
    <xf numFmtId="167" fontId="76" fillId="0" borderId="62" xfId="0" applyNumberFormat="1" applyFont="1" applyBorder="1" applyAlignment="1">
      <alignment horizontal="center" vertical="center"/>
    </xf>
    <xf numFmtId="9" fontId="74" fillId="0" borderId="48" xfId="0" applyNumberFormat="1" applyFont="1" applyBorder="1" applyAlignment="1">
      <alignment horizontal="center" vertical="center" wrapText="1"/>
    </xf>
    <xf numFmtId="0" fontId="73" fillId="16" borderId="5" xfId="0" applyFont="1" applyFill="1" applyBorder="1" applyAlignment="1">
      <alignment horizontal="center" vertical="center" wrapText="1"/>
    </xf>
    <xf numFmtId="3" fontId="34" fillId="0" borderId="35" xfId="0" applyNumberFormat="1" applyFont="1" applyBorder="1" applyAlignment="1">
      <alignment horizontal="center"/>
    </xf>
    <xf numFmtId="3" fontId="34" fillId="0" borderId="22" xfId="0" applyNumberFormat="1" applyFont="1" applyBorder="1" applyAlignment="1">
      <alignment horizontal="center" vertical="center" wrapText="1"/>
    </xf>
    <xf numFmtId="3" fontId="34" fillId="0" borderId="26" xfId="0" applyNumberFormat="1" applyFont="1" applyBorder="1" applyAlignment="1">
      <alignment horizontal="center"/>
    </xf>
    <xf numFmtId="0" fontId="34" fillId="0" borderId="39" xfId="0" applyFont="1" applyBorder="1" applyAlignment="1">
      <alignment horizontal="center" vertical="center"/>
    </xf>
    <xf numFmtId="3" fontId="34" fillId="0" borderId="59" xfId="0" applyNumberFormat="1" applyFont="1" applyBorder="1" applyAlignment="1">
      <alignment horizontal="center" vertical="center"/>
    </xf>
    <xf numFmtId="0" fontId="79" fillId="0" borderId="0" xfId="0" applyFont="1"/>
    <xf numFmtId="0" fontId="28" fillId="0" borderId="0" xfId="0" applyFont="1" applyBorder="1" applyAlignment="1">
      <alignment horizontal="left" vertical="center"/>
    </xf>
    <xf numFmtId="0" fontId="31" fillId="4" borderId="8" xfId="0" applyFont="1" applyFill="1" applyBorder="1" applyAlignment="1">
      <alignment horizontal="center" vertical="center"/>
    </xf>
    <xf numFmtId="170" fontId="55" fillId="0" borderId="8" xfId="1" applyNumberFormat="1" applyFont="1" applyBorder="1" applyAlignment="1">
      <alignment horizontal="right"/>
    </xf>
    <xf numFmtId="178" fontId="55" fillId="0" borderId="0" xfId="1" applyNumberFormat="1" applyFont="1" applyBorder="1" applyAlignment="1">
      <alignment horizontal="right"/>
    </xf>
    <xf numFmtId="169" fontId="61" fillId="0" borderId="0" xfId="1" applyNumberFormat="1" applyFont="1" applyFill="1" applyBorder="1" applyAlignment="1">
      <alignment horizontal="center" vertical="center"/>
    </xf>
    <xf numFmtId="179" fontId="55" fillId="0" borderId="0" xfId="1" applyNumberFormat="1" applyFont="1" applyBorder="1" applyAlignment="1">
      <alignment horizontal="right" vertical="center"/>
    </xf>
    <xf numFmtId="0" fontId="55" fillId="0" borderId="0" xfId="0" applyFont="1" applyBorder="1" applyAlignment="1">
      <alignment horizontal="right" vertical="center"/>
    </xf>
    <xf numFmtId="0" fontId="18" fillId="0" borderId="0" xfId="0" applyFont="1" applyBorder="1" applyAlignment="1">
      <alignment horizontal="right" vertical="center"/>
    </xf>
    <xf numFmtId="177" fontId="55" fillId="0" borderId="0" xfId="0" applyNumberFormat="1" applyFont="1" applyBorder="1" applyAlignment="1">
      <alignment horizontal="right" vertical="center"/>
    </xf>
    <xf numFmtId="169" fontId="55" fillId="0" borderId="0" xfId="1" applyNumberFormat="1" applyFont="1" applyBorder="1" applyAlignment="1">
      <alignment horizontal="right" vertical="center"/>
    </xf>
    <xf numFmtId="180" fontId="55" fillId="0" borderId="0" xfId="2" applyNumberFormat="1" applyFont="1" applyBorder="1" applyAlignment="1">
      <alignment horizontal="right" vertical="center"/>
    </xf>
    <xf numFmtId="167" fontId="55" fillId="0" borderId="0" xfId="2" applyNumberFormat="1" applyFont="1" applyBorder="1" applyAlignment="1">
      <alignment horizontal="right" vertical="center"/>
    </xf>
    <xf numFmtId="9" fontId="55" fillId="0" borderId="0" xfId="0" applyNumberFormat="1" applyFont="1" applyBorder="1" applyAlignment="1">
      <alignment horizontal="right" vertical="center"/>
    </xf>
    <xf numFmtId="0" fontId="14" fillId="0" borderId="8" xfId="0" applyFont="1" applyFill="1" applyBorder="1" applyAlignment="1">
      <alignment horizontal="center" vertical="center" wrapText="1"/>
    </xf>
    <xf numFmtId="3" fontId="31" fillId="14" borderId="27" xfId="0" applyNumberFormat="1" applyFont="1" applyFill="1" applyBorder="1" applyAlignment="1">
      <alignment horizontal="center" vertical="center"/>
    </xf>
    <xf numFmtId="3" fontId="31" fillId="14" borderId="30" xfId="0" applyNumberFormat="1" applyFont="1" applyFill="1" applyBorder="1" applyAlignment="1">
      <alignment horizontal="center" vertical="center"/>
    </xf>
    <xf numFmtId="3" fontId="31" fillId="14" borderId="55" xfId="0" applyNumberFormat="1" applyFont="1" applyFill="1" applyBorder="1" applyAlignment="1">
      <alignment horizontal="center" vertical="center"/>
    </xf>
    <xf numFmtId="3" fontId="31" fillId="14" borderId="79" xfId="0" applyNumberFormat="1" applyFont="1" applyFill="1" applyBorder="1" applyAlignment="1">
      <alignment horizontal="center" vertical="center"/>
    </xf>
    <xf numFmtId="0" fontId="31" fillId="14" borderId="14" xfId="0" applyFont="1" applyFill="1" applyBorder="1" applyAlignment="1">
      <alignment horizontal="center" vertical="center" wrapText="1"/>
    </xf>
    <xf numFmtId="3" fontId="18" fillId="4" borderId="0" xfId="0" applyNumberFormat="1" applyFont="1" applyFill="1" applyBorder="1" applyAlignment="1">
      <alignment vertical="center"/>
    </xf>
    <xf numFmtId="0" fontId="18" fillId="4" borderId="0" xfId="0" applyFont="1" applyFill="1" applyBorder="1" applyAlignment="1">
      <alignment vertical="center"/>
    </xf>
    <xf numFmtId="3" fontId="31" fillId="14" borderId="38" xfId="0" applyNumberFormat="1" applyFont="1" applyFill="1" applyBorder="1" applyAlignment="1">
      <alignment horizontal="center"/>
    </xf>
    <xf numFmtId="3" fontId="14" fillId="16" borderId="63" xfId="0" applyNumberFormat="1" applyFont="1" applyFill="1" applyBorder="1" applyAlignment="1">
      <alignment horizontal="left" vertical="center" wrapText="1"/>
    </xf>
    <xf numFmtId="3" fontId="55" fillId="16" borderId="48" xfId="0" applyNumberFormat="1" applyFont="1" applyFill="1" applyBorder="1" applyAlignment="1">
      <alignment horizontal="left" vertical="center" wrapText="1"/>
    </xf>
    <xf numFmtId="3" fontId="14" fillId="16" borderId="16" xfId="0" applyNumberFormat="1" applyFont="1" applyFill="1" applyBorder="1" applyAlignment="1">
      <alignment horizontal="left" vertical="center" wrapText="1"/>
    </xf>
    <xf numFmtId="4" fontId="14" fillId="4" borderId="16" xfId="0" applyNumberFormat="1" applyFont="1" applyFill="1" applyBorder="1" applyAlignment="1">
      <alignment horizontal="left"/>
    </xf>
    <xf numFmtId="3" fontId="31" fillId="14" borderId="42" xfId="0" applyNumberFormat="1" applyFont="1" applyFill="1" applyBorder="1" applyAlignment="1">
      <alignment horizontal="center"/>
    </xf>
    <xf numFmtId="3" fontId="31" fillId="14" borderId="71" xfId="0" applyNumberFormat="1" applyFont="1" applyFill="1" applyBorder="1" applyAlignment="1">
      <alignment vertical="center"/>
    </xf>
    <xf numFmtId="3" fontId="55" fillId="16" borderId="63" xfId="0" applyNumberFormat="1" applyFont="1" applyFill="1" applyBorder="1" applyAlignment="1">
      <alignment horizontal="left" vertical="center" wrapText="1"/>
    </xf>
    <xf numFmtId="180" fontId="14" fillId="16" borderId="24" xfId="2" applyNumberFormat="1" applyFont="1" applyFill="1" applyBorder="1" applyAlignment="1">
      <alignment horizontal="center" vertical="center"/>
    </xf>
    <xf numFmtId="167" fontId="62" fillId="16" borderId="29" xfId="2" applyNumberFormat="1" applyFont="1" applyFill="1" applyBorder="1" applyAlignment="1">
      <alignment horizontal="center" vertical="center" wrapText="1"/>
    </xf>
    <xf numFmtId="0" fontId="14" fillId="16" borderId="16" xfId="0" applyFont="1" applyFill="1" applyBorder="1" applyAlignment="1">
      <alignment vertical="center"/>
    </xf>
    <xf numFmtId="0" fontId="62" fillId="16" borderId="59" xfId="2" applyNumberFormat="1" applyFont="1" applyFill="1" applyBorder="1" applyAlignment="1">
      <alignment horizontal="center" vertical="center" wrapText="1"/>
    </xf>
    <xf numFmtId="180" fontId="14" fillId="16" borderId="24" xfId="0" applyNumberFormat="1" applyFont="1" applyFill="1" applyBorder="1" applyAlignment="1">
      <alignment horizontal="center" vertical="center"/>
    </xf>
    <xf numFmtId="10" fontId="62" fillId="16" borderId="29" xfId="2" applyNumberFormat="1" applyFont="1" applyFill="1" applyBorder="1" applyAlignment="1">
      <alignment horizontal="center" vertical="center" wrapText="1"/>
    </xf>
    <xf numFmtId="9" fontId="14" fillId="0" borderId="59" xfId="0" applyNumberFormat="1" applyFont="1" applyFill="1" applyBorder="1" applyAlignment="1">
      <alignment horizontal="center"/>
    </xf>
    <xf numFmtId="0" fontId="55" fillId="0" borderId="8" xfId="0" applyFont="1" applyBorder="1" applyAlignment="1">
      <alignment vertical="center" wrapText="1"/>
    </xf>
    <xf numFmtId="169" fontId="61" fillId="0" borderId="7" xfId="1" applyNumberFormat="1" applyFont="1" applyFill="1" applyBorder="1" applyAlignment="1">
      <alignment horizontal="center" vertical="center"/>
    </xf>
    <xf numFmtId="0" fontId="55" fillId="0" borderId="35" xfId="0" applyFont="1" applyBorder="1" applyAlignment="1">
      <alignment vertical="center" wrapText="1"/>
    </xf>
    <xf numFmtId="169" fontId="61" fillId="0" borderId="26" xfId="1" applyNumberFormat="1" applyFont="1" applyFill="1" applyBorder="1" applyAlignment="1">
      <alignment horizontal="center" vertical="center"/>
    </xf>
    <xf numFmtId="0" fontId="55" fillId="4" borderId="40" xfId="0" applyFont="1" applyFill="1" applyBorder="1" applyAlignment="1">
      <alignment horizontal="left" vertical="center" wrapText="1"/>
    </xf>
    <xf numFmtId="0" fontId="18" fillId="0" borderId="69" xfId="0" applyFont="1" applyBorder="1" applyAlignment="1">
      <alignment horizontal="right" vertical="center"/>
    </xf>
    <xf numFmtId="0" fontId="55" fillId="4" borderId="8" xfId="0" applyFont="1" applyFill="1" applyBorder="1" applyAlignment="1">
      <alignment horizontal="right" vertical="center" wrapText="1"/>
    </xf>
    <xf numFmtId="0" fontId="55" fillId="4" borderId="35" xfId="0" applyFont="1" applyFill="1" applyBorder="1" applyAlignment="1">
      <alignment horizontal="right" vertical="center" wrapText="1"/>
    </xf>
    <xf numFmtId="0" fontId="31" fillId="14" borderId="17" xfId="0" applyFont="1" applyFill="1" applyBorder="1" applyAlignment="1">
      <alignment horizontal="center" vertical="center"/>
    </xf>
    <xf numFmtId="0" fontId="31" fillId="14" borderId="18" xfId="0" applyFont="1" applyFill="1" applyBorder="1" applyAlignment="1">
      <alignment horizontal="center" vertical="center" wrapText="1"/>
    </xf>
    <xf numFmtId="3" fontId="55" fillId="14" borderId="63" xfId="0" applyNumberFormat="1" applyFont="1" applyFill="1" applyBorder="1" applyAlignment="1">
      <alignment horizontal="left" vertical="center" wrapText="1"/>
    </xf>
    <xf numFmtId="180" fontId="14" fillId="14" borderId="24" xfId="0" applyNumberFormat="1" applyFont="1" applyFill="1" applyBorder="1" applyAlignment="1">
      <alignment horizontal="center" vertical="center"/>
    </xf>
    <xf numFmtId="3" fontId="55" fillId="14" borderId="48" xfId="0" applyNumberFormat="1" applyFont="1" applyFill="1" applyBorder="1" applyAlignment="1">
      <alignment horizontal="left" vertical="center" wrapText="1"/>
    </xf>
    <xf numFmtId="10" fontId="62" fillId="14" borderId="29" xfId="2" applyNumberFormat="1" applyFont="1" applyFill="1" applyBorder="1" applyAlignment="1">
      <alignment horizontal="center" vertical="center" wrapText="1"/>
    </xf>
    <xf numFmtId="3" fontId="14" fillId="14" borderId="6" xfId="0" applyNumberFormat="1" applyFont="1" applyFill="1" applyBorder="1" applyAlignment="1">
      <alignment horizontal="left" vertical="center" wrapText="1"/>
    </xf>
    <xf numFmtId="0" fontId="62" fillId="14" borderId="59" xfId="2" applyNumberFormat="1" applyFont="1" applyFill="1" applyBorder="1" applyAlignment="1">
      <alignment horizontal="center" vertical="center" wrapText="1"/>
    </xf>
    <xf numFmtId="0" fontId="31" fillId="16" borderId="46" xfId="0" applyFont="1" applyFill="1" applyBorder="1" applyAlignment="1">
      <alignment horizontal="center" vertical="center"/>
    </xf>
    <xf numFmtId="0" fontId="31" fillId="16" borderId="34" xfId="0" applyFont="1" applyFill="1" applyBorder="1" applyAlignment="1">
      <alignment horizontal="center" vertical="center" wrapText="1"/>
    </xf>
    <xf numFmtId="3" fontId="31" fillId="16" borderId="43" xfId="0" applyNumberFormat="1" applyFont="1" applyFill="1" applyBorder="1" applyAlignment="1">
      <alignment horizontal="center" vertical="center"/>
    </xf>
    <xf numFmtId="3" fontId="31" fillId="16" borderId="28" xfId="0" applyNumberFormat="1" applyFont="1" applyFill="1" applyBorder="1" applyAlignment="1">
      <alignment horizontal="center" vertical="center"/>
    </xf>
    <xf numFmtId="3" fontId="31" fillId="16" borderId="31" xfId="0" applyNumberFormat="1" applyFont="1" applyFill="1" applyBorder="1" applyAlignment="1">
      <alignment horizontal="center" vertical="center"/>
    </xf>
    <xf numFmtId="3" fontId="31" fillId="16" borderId="52" xfId="0" applyNumberFormat="1" applyFont="1" applyFill="1" applyBorder="1" applyAlignment="1">
      <alignment horizontal="center" vertical="center"/>
    </xf>
    <xf numFmtId="3" fontId="31" fillId="16" borderId="53" xfId="0" applyNumberFormat="1" applyFont="1" applyFill="1" applyBorder="1" applyAlignment="1">
      <alignment horizontal="center" vertical="center"/>
    </xf>
    <xf numFmtId="0" fontId="31" fillId="15" borderId="38" xfId="0" applyFont="1" applyFill="1" applyBorder="1" applyAlignment="1">
      <alignment horizontal="center" vertical="center"/>
    </xf>
    <xf numFmtId="0" fontId="31" fillId="15" borderId="50" xfId="0" applyFont="1" applyFill="1" applyBorder="1" applyAlignment="1">
      <alignment horizontal="center" vertical="center"/>
    </xf>
    <xf numFmtId="0" fontId="31" fillId="15" borderId="1" xfId="0" applyFont="1" applyFill="1" applyBorder="1" applyAlignment="1">
      <alignment horizontal="center" vertical="center"/>
    </xf>
    <xf numFmtId="0" fontId="31" fillId="15" borderId="42" xfId="0" applyFont="1" applyFill="1" applyBorder="1" applyAlignment="1">
      <alignment horizontal="center" vertical="center"/>
    </xf>
    <xf numFmtId="0" fontId="31" fillId="15" borderId="71" xfId="0" applyFont="1" applyFill="1" applyBorder="1" applyAlignment="1">
      <alignment horizontal="center" vertical="center"/>
    </xf>
    <xf numFmtId="4" fontId="14" fillId="4" borderId="48" xfId="0" applyNumberFormat="1" applyFont="1" applyFill="1" applyBorder="1" applyAlignment="1">
      <alignment horizontal="left"/>
    </xf>
    <xf numFmtId="9" fontId="61" fillId="0" borderId="29" xfId="2" applyNumberFormat="1" applyFont="1" applyFill="1" applyBorder="1" applyAlignment="1">
      <alignment horizontal="right" vertical="center" wrapText="1"/>
    </xf>
    <xf numFmtId="9" fontId="61" fillId="0" borderId="59" xfId="2" applyNumberFormat="1" applyFont="1" applyFill="1" applyBorder="1" applyAlignment="1">
      <alignment horizontal="right" vertical="center" wrapText="1"/>
    </xf>
    <xf numFmtId="0" fontId="62" fillId="0" borderId="24" xfId="0" applyFont="1" applyBorder="1" applyAlignment="1">
      <alignment horizontal="left" vertical="center"/>
    </xf>
    <xf numFmtId="0" fontId="61" fillId="0" borderId="29" xfId="0" applyFont="1" applyBorder="1" applyAlignment="1">
      <alignment horizontal="left" vertical="center"/>
    </xf>
    <xf numFmtId="0" fontId="61" fillId="0" borderId="59" xfId="0" applyFont="1" applyBorder="1" applyAlignment="1">
      <alignment horizontal="left" vertical="center"/>
    </xf>
    <xf numFmtId="170" fontId="55" fillId="0" borderId="29" xfId="1" applyNumberFormat="1" applyFont="1" applyBorder="1" applyAlignment="1">
      <alignment horizontal="right" vertical="center"/>
    </xf>
    <xf numFmtId="178" fontId="55" fillId="0" borderId="29" xfId="1" applyNumberFormat="1" applyFont="1" applyBorder="1" applyAlignment="1">
      <alignment horizontal="right" vertical="center"/>
    </xf>
    <xf numFmtId="170" fontId="55" fillId="0" borderId="7" xfId="1" applyNumberFormat="1" applyFont="1" applyBorder="1" applyAlignment="1">
      <alignment horizontal="right" vertical="center"/>
    </xf>
    <xf numFmtId="170" fontId="55" fillId="0" borderId="26" xfId="1" applyNumberFormat="1" applyFont="1" applyBorder="1" applyAlignment="1">
      <alignment horizontal="right" vertical="center"/>
    </xf>
    <xf numFmtId="170" fontId="55" fillId="0" borderId="59" xfId="1" applyNumberFormat="1" applyFont="1" applyBorder="1" applyAlignment="1">
      <alignment horizontal="right" vertical="center"/>
    </xf>
    <xf numFmtId="9" fontId="55" fillId="0" borderId="24" xfId="0" applyNumberFormat="1" applyFont="1" applyBorder="1" applyAlignment="1">
      <alignment horizontal="center" vertical="center"/>
    </xf>
    <xf numFmtId="3" fontId="55" fillId="14" borderId="26" xfId="0" applyNumberFormat="1" applyFont="1" applyFill="1" applyBorder="1" applyAlignment="1">
      <alignment horizontal="left" vertical="center" wrapText="1"/>
    </xf>
    <xf numFmtId="3" fontId="14" fillId="14" borderId="69" xfId="0" applyNumberFormat="1" applyFont="1" applyFill="1" applyBorder="1" applyAlignment="1">
      <alignment horizontal="left" vertical="center" wrapText="1"/>
    </xf>
    <xf numFmtId="9" fontId="14" fillId="0" borderId="24" xfId="0" applyNumberFormat="1" applyFont="1" applyBorder="1" applyAlignment="1">
      <alignment horizontal="center"/>
    </xf>
    <xf numFmtId="9" fontId="14" fillId="0" borderId="29" xfId="0" applyNumberFormat="1" applyFont="1" applyFill="1" applyBorder="1" applyAlignment="1">
      <alignment horizontal="center"/>
    </xf>
    <xf numFmtId="3" fontId="31" fillId="16" borderId="50" xfId="0" applyNumberFormat="1" applyFont="1" applyFill="1" applyBorder="1" applyAlignment="1">
      <alignment horizontal="center"/>
    </xf>
    <xf numFmtId="3" fontId="31" fillId="16" borderId="31" xfId="0" applyNumberFormat="1" applyFont="1" applyFill="1" applyBorder="1" applyAlignment="1">
      <alignment horizontal="center"/>
    </xf>
    <xf numFmtId="3" fontId="69" fillId="16" borderId="39" xfId="0" applyNumberFormat="1" applyFont="1" applyFill="1" applyBorder="1" applyAlignment="1">
      <alignment horizontal="center" vertical="center"/>
    </xf>
    <xf numFmtId="3" fontId="31" fillId="16" borderId="1" xfId="0" applyNumberFormat="1" applyFont="1" applyFill="1" applyBorder="1" applyAlignment="1">
      <alignment horizontal="center"/>
    </xf>
    <xf numFmtId="3" fontId="69" fillId="16" borderId="33" xfId="0" applyNumberFormat="1" applyFont="1" applyFill="1" applyBorder="1" applyAlignment="1">
      <alignment horizontal="center" vertical="center"/>
    </xf>
    <xf numFmtId="3" fontId="31" fillId="16" borderId="1" xfId="0" applyNumberFormat="1" applyFont="1" applyFill="1" applyBorder="1" applyAlignment="1">
      <alignment horizontal="center" vertical="center"/>
    </xf>
    <xf numFmtId="3" fontId="31" fillId="16" borderId="42" xfId="0" applyNumberFormat="1" applyFont="1" applyFill="1" applyBorder="1" applyAlignment="1">
      <alignment horizontal="center"/>
    </xf>
    <xf numFmtId="3" fontId="31" fillId="16" borderId="52" xfId="0" applyNumberFormat="1" applyFont="1" applyFill="1" applyBorder="1" applyAlignment="1">
      <alignment horizontal="center"/>
    </xf>
    <xf numFmtId="3" fontId="31" fillId="16" borderId="71" xfId="0" applyNumberFormat="1" applyFont="1" applyFill="1" applyBorder="1" applyAlignment="1">
      <alignment vertical="center"/>
    </xf>
    <xf numFmtId="3" fontId="31" fillId="16" borderId="53" xfId="0" applyNumberFormat="1" applyFont="1" applyFill="1" applyBorder="1" applyAlignment="1">
      <alignment vertical="center"/>
    </xf>
    <xf numFmtId="3" fontId="69" fillId="16" borderId="54" xfId="0" applyNumberFormat="1" applyFont="1" applyFill="1" applyBorder="1" applyAlignment="1">
      <alignment horizontal="center" vertical="center"/>
    </xf>
    <xf numFmtId="3" fontId="31" fillId="14" borderId="43" xfId="0" applyNumberFormat="1" applyFont="1" applyFill="1" applyBorder="1" applyAlignment="1">
      <alignment horizontal="center"/>
    </xf>
    <xf numFmtId="3" fontId="69" fillId="14" borderId="39" xfId="0" applyNumberFormat="1" applyFont="1" applyFill="1" applyBorder="1" applyAlignment="1">
      <alignment horizontal="center" vertical="center"/>
    </xf>
    <xf numFmtId="3" fontId="69" fillId="14" borderId="33" xfId="0" applyNumberFormat="1" applyFont="1" applyFill="1" applyBorder="1" applyAlignment="1">
      <alignment horizontal="center" vertical="center"/>
    </xf>
    <xf numFmtId="3" fontId="31" fillId="14" borderId="52" xfId="0" applyNumberFormat="1" applyFont="1" applyFill="1" applyBorder="1" applyAlignment="1">
      <alignment horizontal="center"/>
    </xf>
    <xf numFmtId="3" fontId="69" fillId="14" borderId="41" xfId="0" applyNumberFormat="1" applyFont="1" applyFill="1" applyBorder="1" applyAlignment="1">
      <alignment horizontal="center" vertical="center"/>
    </xf>
    <xf numFmtId="0" fontId="31" fillId="15" borderId="63" xfId="0" applyNumberFormat="1" applyFont="1" applyFill="1" applyBorder="1" applyAlignment="1">
      <alignment horizontal="center"/>
    </xf>
    <xf numFmtId="0" fontId="31" fillId="15" borderId="48" xfId="0" applyNumberFormat="1" applyFont="1" applyFill="1" applyBorder="1" applyAlignment="1">
      <alignment horizontal="center" vertical="center"/>
    </xf>
    <xf numFmtId="0" fontId="31" fillId="15" borderId="40" xfId="0" applyNumberFormat="1" applyFont="1" applyFill="1" applyBorder="1" applyAlignment="1">
      <alignment horizontal="center" vertical="center"/>
    </xf>
    <xf numFmtId="0" fontId="31" fillId="15" borderId="36" xfId="0" applyFont="1" applyFill="1" applyBorder="1" applyAlignment="1">
      <alignment horizontal="center" vertical="center"/>
    </xf>
    <xf numFmtId="0" fontId="0" fillId="4" borderId="0" xfId="0" applyFill="1" applyBorder="1" applyAlignment="1">
      <alignment vertical="center"/>
    </xf>
    <xf numFmtId="0" fontId="82" fillId="0" borderId="0" xfId="0" applyFont="1" applyAlignment="1">
      <alignment vertical="center"/>
    </xf>
    <xf numFmtId="0" fontId="83" fillId="0" borderId="0" xfId="0" applyFont="1" applyAlignment="1">
      <alignment vertical="center"/>
    </xf>
    <xf numFmtId="182" fontId="14" fillId="14" borderId="26" xfId="0" applyNumberFormat="1" applyFont="1" applyFill="1" applyBorder="1" applyAlignment="1">
      <alignment horizontal="center" vertical="center"/>
    </xf>
    <xf numFmtId="10" fontId="14" fillId="14" borderId="69" xfId="0" applyNumberFormat="1" applyFont="1" applyFill="1" applyBorder="1" applyAlignment="1">
      <alignment horizontal="center" vertical="center"/>
    </xf>
    <xf numFmtId="3" fontId="14" fillId="14" borderId="59" xfId="0" applyNumberFormat="1" applyFont="1" applyFill="1" applyBorder="1" applyAlignment="1">
      <alignment horizontal="left" vertical="center" wrapText="1"/>
    </xf>
    <xf numFmtId="0" fontId="0" fillId="0" borderId="29" xfId="0" applyBorder="1" applyAlignment="1">
      <alignment horizontal="center"/>
    </xf>
    <xf numFmtId="0" fontId="76" fillId="0" borderId="62" xfId="0" applyFont="1" applyBorder="1" applyAlignment="1">
      <alignment horizontal="center"/>
    </xf>
    <xf numFmtId="3" fontId="0" fillId="0" borderId="29" xfId="0" applyNumberFormat="1" applyBorder="1" applyAlignment="1">
      <alignment horizontal="center"/>
    </xf>
    <xf numFmtId="3" fontId="76" fillId="0" borderId="48" xfId="0" applyNumberFormat="1" applyFont="1" applyBorder="1" applyAlignment="1">
      <alignment horizontal="center"/>
    </xf>
    <xf numFmtId="9" fontId="76" fillId="0" borderId="48" xfId="0" applyNumberFormat="1" applyFont="1" applyBorder="1" applyAlignment="1">
      <alignment horizontal="center"/>
    </xf>
    <xf numFmtId="0" fontId="2" fillId="0" borderId="59" xfId="0" applyFont="1" applyBorder="1" applyAlignment="1">
      <alignment horizontal="center" vertical="center" wrapText="1"/>
    </xf>
    <xf numFmtId="10" fontId="0" fillId="0" borderId="59" xfId="0" applyNumberFormat="1" applyBorder="1" applyAlignment="1">
      <alignment horizontal="center" vertical="center"/>
    </xf>
    <xf numFmtId="0" fontId="76" fillId="0" borderId="16" xfId="0" applyFont="1" applyBorder="1" applyAlignment="1">
      <alignment horizontal="center" vertical="center" wrapText="1"/>
    </xf>
    <xf numFmtId="0" fontId="53" fillId="0" borderId="8" xfId="0" applyFont="1" applyFill="1" applyBorder="1" applyAlignment="1">
      <alignment vertical="center" wrapText="1"/>
    </xf>
    <xf numFmtId="0" fontId="19" fillId="0" borderId="0" xfId="0" applyFont="1" applyBorder="1" applyAlignment="1">
      <alignment vertical="center"/>
    </xf>
    <xf numFmtId="0" fontId="19" fillId="0" borderId="0" xfId="0" applyFont="1" applyBorder="1" applyAlignment="1">
      <alignment horizontal="center"/>
    </xf>
    <xf numFmtId="0" fontId="67" fillId="0" borderId="0" xfId="0" applyFont="1" applyBorder="1" applyAlignment="1">
      <alignment horizontal="center" vertical="center"/>
    </xf>
    <xf numFmtId="0" fontId="5" fillId="0" borderId="10" xfId="0" applyFont="1" applyBorder="1" applyAlignment="1">
      <alignment vertical="center"/>
    </xf>
    <xf numFmtId="0" fontId="31" fillId="0" borderId="8" xfId="0" applyFont="1" applyBorder="1" applyAlignment="1">
      <alignment horizontal="left" vertical="center"/>
    </xf>
    <xf numFmtId="0" fontId="67" fillId="12" borderId="8" xfId="0" applyFont="1" applyFill="1" applyBorder="1" applyAlignment="1">
      <alignment vertical="center"/>
    </xf>
    <xf numFmtId="0" fontId="67" fillId="12" borderId="0" xfId="0" applyFont="1" applyFill="1" applyBorder="1" applyAlignment="1">
      <alignment vertical="center"/>
    </xf>
    <xf numFmtId="0" fontId="67" fillId="12" borderId="12" xfId="0" applyFont="1" applyFill="1" applyBorder="1"/>
    <xf numFmtId="0" fontId="67" fillId="12" borderId="0" xfId="0" applyFont="1" applyFill="1" applyBorder="1"/>
    <xf numFmtId="168" fontId="4" fillId="0" borderId="72" xfId="1" applyNumberFormat="1" applyFont="1" applyFill="1" applyBorder="1" applyAlignment="1">
      <alignment horizontal="right" vertical="center"/>
    </xf>
    <xf numFmtId="167" fontId="23" fillId="0" borderId="58" xfId="2" applyNumberFormat="1" applyFont="1" applyFill="1" applyBorder="1" applyAlignment="1">
      <alignment horizontal="center" vertical="center"/>
    </xf>
    <xf numFmtId="167" fontId="1" fillId="0" borderId="58" xfId="2" applyNumberFormat="1" applyFont="1" applyFill="1" applyBorder="1" applyAlignment="1">
      <alignment horizontal="center" vertical="center"/>
    </xf>
    <xf numFmtId="167" fontId="5" fillId="0" borderId="58" xfId="2" applyNumberFormat="1" applyFont="1" applyFill="1" applyBorder="1" applyAlignment="1">
      <alignment horizontal="center" vertical="center"/>
    </xf>
    <xf numFmtId="2" fontId="22" fillId="0" borderId="58" xfId="2" applyNumberFormat="1" applyFont="1" applyFill="1" applyBorder="1" applyAlignment="1">
      <alignment horizontal="center" vertical="center"/>
    </xf>
    <xf numFmtId="181" fontId="22" fillId="11" borderId="58" xfId="1" applyNumberFormat="1" applyFont="1" applyFill="1" applyBorder="1" applyAlignment="1">
      <alignment horizontal="right" vertical="center"/>
    </xf>
    <xf numFmtId="169" fontId="22" fillId="0" borderId="58" xfId="1" applyNumberFormat="1" applyFont="1" applyFill="1" applyBorder="1" applyAlignment="1">
      <alignment horizontal="right" vertical="center"/>
    </xf>
    <xf numFmtId="10" fontId="85" fillId="16" borderId="24" xfId="0" applyNumberFormat="1" applyFont="1" applyFill="1" applyBorder="1" applyAlignment="1">
      <alignment horizontal="center"/>
    </xf>
    <xf numFmtId="10" fontId="85" fillId="16" borderId="29" xfId="0" applyNumberFormat="1" applyFont="1" applyFill="1" applyBorder="1" applyAlignment="1">
      <alignment horizontal="center"/>
    </xf>
    <xf numFmtId="10" fontId="85" fillId="16" borderId="29" xfId="0" applyNumberFormat="1" applyFont="1" applyFill="1" applyBorder="1" applyAlignment="1">
      <alignment horizontal="center" vertical="center"/>
    </xf>
    <xf numFmtId="10" fontId="85" fillId="16" borderId="59" xfId="0" applyNumberFormat="1" applyFont="1" applyFill="1" applyBorder="1" applyAlignment="1">
      <alignment horizontal="center" vertical="center"/>
    </xf>
    <xf numFmtId="10" fontId="0" fillId="0" borderId="0" xfId="0" applyNumberFormat="1" applyBorder="1" applyAlignment="1">
      <alignment vertical="center"/>
    </xf>
    <xf numFmtId="0" fontId="0" fillId="0" borderId="48" xfId="0" applyBorder="1" applyAlignment="1">
      <alignment vertical="center"/>
    </xf>
    <xf numFmtId="0" fontId="73" fillId="0" borderId="32" xfId="0" applyFont="1" applyBorder="1" applyAlignment="1">
      <alignment horizontal="center" vertical="center" wrapText="1"/>
    </xf>
    <xf numFmtId="10" fontId="2" fillId="0" borderId="24" xfId="0" applyNumberFormat="1" applyFont="1" applyBorder="1" applyAlignment="1">
      <alignment horizontal="center"/>
    </xf>
    <xf numFmtId="10" fontId="2" fillId="0" borderId="29" xfId="2" applyNumberFormat="1" applyFont="1" applyBorder="1" applyAlignment="1">
      <alignment horizontal="center"/>
    </xf>
    <xf numFmtId="10" fontId="0" fillId="0" borderId="29" xfId="0" applyNumberFormat="1" applyBorder="1" applyAlignment="1">
      <alignment horizontal="center"/>
    </xf>
    <xf numFmtId="10" fontId="2" fillId="0" borderId="29" xfId="2" applyNumberFormat="1" applyFont="1" applyBorder="1" applyAlignment="1">
      <alignment horizontal="center" vertical="center"/>
    </xf>
    <xf numFmtId="10" fontId="0" fillId="0" borderId="29" xfId="0" applyNumberFormat="1" applyBorder="1" applyAlignment="1">
      <alignment horizontal="center" vertical="center"/>
    </xf>
    <xf numFmtId="10" fontId="2" fillId="0" borderId="59" xfId="2" applyNumberFormat="1" applyFont="1" applyBorder="1" applyAlignment="1">
      <alignment horizontal="center" vertical="center"/>
    </xf>
    <xf numFmtId="0" fontId="31" fillId="14" borderId="19" xfId="0" applyFont="1" applyFill="1" applyBorder="1" applyAlignment="1">
      <alignment horizontal="center" vertical="center" wrapText="1"/>
    </xf>
    <xf numFmtId="3" fontId="31" fillId="16" borderId="33" xfId="0" applyNumberFormat="1" applyFont="1" applyFill="1" applyBorder="1" applyAlignment="1">
      <alignment horizontal="center" vertical="center"/>
    </xf>
    <xf numFmtId="3" fontId="31" fillId="16" borderId="41" xfId="0" applyNumberFormat="1" applyFont="1" applyFill="1" applyBorder="1" applyAlignment="1">
      <alignment horizontal="center" vertical="center"/>
    </xf>
    <xf numFmtId="0" fontId="55" fillId="0" borderId="8" xfId="0" applyFont="1" applyBorder="1" applyAlignment="1">
      <alignment horizontal="left" vertical="center" wrapText="1"/>
    </xf>
    <xf numFmtId="0" fontId="55" fillId="0" borderId="35" xfId="0" applyFont="1" applyBorder="1" applyAlignment="1">
      <alignment horizontal="left" vertical="center" wrapText="1"/>
    </xf>
    <xf numFmtId="168" fontId="4" fillId="19" borderId="59" xfId="1" applyNumberFormat="1" applyFont="1" applyFill="1" applyBorder="1" applyAlignment="1">
      <alignment horizontal="center" vertical="center"/>
    </xf>
    <xf numFmtId="0" fontId="67" fillId="0" borderId="8" xfId="0" applyFont="1" applyBorder="1" applyAlignment="1">
      <alignment horizontal="left" vertical="center" wrapText="1"/>
    </xf>
    <xf numFmtId="0" fontId="67" fillId="0" borderId="0" xfId="0" applyFont="1" applyBorder="1" applyAlignment="1">
      <alignment horizontal="left" vertical="center" wrapText="1"/>
    </xf>
    <xf numFmtId="0" fontId="67" fillId="0" borderId="12" xfId="0" applyFont="1" applyBorder="1" applyAlignment="1">
      <alignment horizontal="left" vertical="center" wrapText="1"/>
    </xf>
    <xf numFmtId="0" fontId="72" fillId="0" borderId="8" xfId="0" applyFont="1" applyBorder="1" applyAlignment="1">
      <alignment horizontal="left" vertical="center" wrapText="1"/>
    </xf>
    <xf numFmtId="0" fontId="72" fillId="0" borderId="0" xfId="0" applyFont="1" applyBorder="1" applyAlignment="1">
      <alignment horizontal="left" vertical="center" wrapText="1"/>
    </xf>
    <xf numFmtId="0" fontId="72" fillId="0" borderId="12" xfId="0" applyFont="1" applyBorder="1" applyAlignment="1">
      <alignment horizontal="left" vertical="center" wrapText="1"/>
    </xf>
    <xf numFmtId="0" fontId="67" fillId="0" borderId="8" xfId="0" applyFont="1" applyBorder="1" applyAlignment="1">
      <alignment vertical="center" wrapText="1"/>
    </xf>
    <xf numFmtId="0" fontId="67" fillId="0" borderId="0" xfId="0" applyFont="1" applyBorder="1" applyAlignment="1">
      <alignment vertical="center" wrapText="1"/>
    </xf>
    <xf numFmtId="0" fontId="67" fillId="0" borderId="12" xfId="0" applyFont="1" applyBorder="1" applyAlignment="1">
      <alignment vertical="center" wrapText="1"/>
    </xf>
    <xf numFmtId="0" fontId="67" fillId="0" borderId="8" xfId="0" applyFont="1" applyBorder="1" applyAlignment="1">
      <alignment horizontal="left" vertical="center"/>
    </xf>
    <xf numFmtId="0" fontId="67" fillId="0" borderId="0" xfId="0" applyFont="1" applyBorder="1" applyAlignment="1">
      <alignment horizontal="left" vertical="center"/>
    </xf>
    <xf numFmtId="0" fontId="67" fillId="0" borderId="12" xfId="0" applyFont="1" applyBorder="1" applyAlignment="1">
      <alignment horizontal="left" vertical="center"/>
    </xf>
    <xf numFmtId="0" fontId="31" fillId="0" borderId="8" xfId="0" applyFont="1" applyBorder="1" applyAlignment="1">
      <alignment horizontal="left" vertical="center" wrapText="1"/>
    </xf>
    <xf numFmtId="0" fontId="31" fillId="0" borderId="0" xfId="0" applyFont="1" applyBorder="1" applyAlignment="1">
      <alignment horizontal="left" vertical="center" wrapText="1"/>
    </xf>
    <xf numFmtId="0" fontId="31" fillId="0" borderId="12" xfId="0" applyFont="1" applyBorder="1" applyAlignment="1">
      <alignment horizontal="left" vertical="center" wrapText="1"/>
    </xf>
    <xf numFmtId="0" fontId="31" fillId="0" borderId="4" xfId="0" applyFont="1" applyFill="1" applyBorder="1" applyAlignment="1">
      <alignment horizontal="center" vertical="center"/>
    </xf>
    <xf numFmtId="0" fontId="31" fillId="0" borderId="13" xfId="0" applyFont="1" applyFill="1" applyBorder="1" applyAlignment="1">
      <alignment horizontal="center" vertical="center"/>
    </xf>
    <xf numFmtId="0" fontId="31" fillId="0" borderId="10" xfId="0" applyFont="1" applyFill="1" applyBorder="1" applyAlignment="1">
      <alignment horizontal="center" vertical="center"/>
    </xf>
    <xf numFmtId="0" fontId="31" fillId="0" borderId="8"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12" xfId="0" applyFont="1" applyFill="1" applyBorder="1" applyAlignment="1">
      <alignment horizontal="center" vertical="center"/>
    </xf>
    <xf numFmtId="0" fontId="31" fillId="0" borderId="6" xfId="0" applyFont="1" applyFill="1" applyBorder="1" applyAlignment="1">
      <alignment horizontal="center" vertical="center"/>
    </xf>
    <xf numFmtId="0" fontId="31" fillId="0" borderId="14" xfId="0" applyFont="1" applyFill="1" applyBorder="1" applyAlignment="1">
      <alignment horizontal="center" vertical="center"/>
    </xf>
    <xf numFmtId="0" fontId="31" fillId="0" borderId="11" xfId="0" applyFont="1" applyFill="1" applyBorder="1" applyAlignment="1">
      <alignment horizontal="center" vertical="center"/>
    </xf>
    <xf numFmtId="0" fontId="67" fillId="18" borderId="8" xfId="0" applyFont="1" applyFill="1" applyBorder="1" applyAlignment="1">
      <alignment vertical="center"/>
    </xf>
    <xf numFmtId="0" fontId="67" fillId="18" borderId="0" xfId="0" applyFont="1" applyFill="1" applyBorder="1" applyAlignment="1">
      <alignment vertical="center"/>
    </xf>
    <xf numFmtId="0" fontId="67" fillId="18" borderId="12" xfId="0" applyFont="1" applyFill="1" applyBorder="1" applyAlignment="1">
      <alignment vertical="center"/>
    </xf>
    <xf numFmtId="0" fontId="53" fillId="0" borderId="8" xfId="0" applyFont="1" applyFill="1" applyBorder="1" applyAlignment="1">
      <alignment horizontal="left" vertical="center" wrapText="1"/>
    </xf>
    <xf numFmtId="0" fontId="53" fillId="0" borderId="0" xfId="0" applyFont="1" applyFill="1" applyBorder="1" applyAlignment="1">
      <alignment horizontal="left" vertical="center" wrapText="1"/>
    </xf>
    <xf numFmtId="0" fontId="31" fillId="17" borderId="8" xfId="0" applyFont="1" applyFill="1" applyBorder="1" applyAlignment="1">
      <alignment horizontal="center" vertical="center"/>
    </xf>
    <xf numFmtId="0" fontId="31" fillId="17" borderId="0" xfId="0" applyFont="1" applyFill="1" applyBorder="1" applyAlignment="1">
      <alignment horizontal="center" vertical="center"/>
    </xf>
    <xf numFmtId="0" fontId="31" fillId="17" borderId="12" xfId="0" applyFont="1" applyFill="1" applyBorder="1" applyAlignment="1">
      <alignment horizontal="center" vertical="center"/>
    </xf>
    <xf numFmtId="0" fontId="31" fillId="14" borderId="8" xfId="0" applyFont="1" applyFill="1" applyBorder="1" applyAlignment="1">
      <alignment horizontal="center" vertical="center" wrapText="1"/>
    </xf>
    <xf numFmtId="0" fontId="31" fillId="14" borderId="0" xfId="0" applyFont="1" applyFill="1" applyBorder="1" applyAlignment="1">
      <alignment horizontal="center" vertical="center" wrapText="1"/>
    </xf>
    <xf numFmtId="0" fontId="31" fillId="14" borderId="12" xfId="0" applyFont="1" applyFill="1" applyBorder="1" applyAlignment="1">
      <alignment horizontal="center" vertical="center" wrapText="1"/>
    </xf>
    <xf numFmtId="0" fontId="84" fillId="0" borderId="0" xfId="0" applyFont="1" applyAlignment="1">
      <alignment horizontal="center" wrapText="1"/>
    </xf>
    <xf numFmtId="0" fontId="67" fillId="12" borderId="8" xfId="0" applyFont="1" applyFill="1" applyBorder="1" applyAlignment="1">
      <alignment horizontal="left" vertical="center"/>
    </xf>
    <xf numFmtId="0" fontId="67" fillId="12" borderId="0" xfId="0" applyFont="1" applyFill="1" applyBorder="1" applyAlignment="1">
      <alignment horizontal="left" vertical="center"/>
    </xf>
    <xf numFmtId="0" fontId="67" fillId="12" borderId="12" xfId="0" applyFont="1" applyFill="1" applyBorder="1" applyAlignment="1">
      <alignment horizontal="left" vertical="center"/>
    </xf>
    <xf numFmtId="0" fontId="67" fillId="12" borderId="6" xfId="0" applyFont="1" applyFill="1" applyBorder="1" applyAlignment="1">
      <alignment horizontal="left" vertical="center"/>
    </xf>
    <xf numFmtId="0" fontId="67" fillId="12" borderId="14" xfId="0" applyFont="1" applyFill="1" applyBorder="1" applyAlignment="1">
      <alignment horizontal="left" vertical="center"/>
    </xf>
    <xf numFmtId="0" fontId="67" fillId="12" borderId="11" xfId="0" applyFont="1" applyFill="1" applyBorder="1" applyAlignment="1">
      <alignment horizontal="left" vertical="center"/>
    </xf>
    <xf numFmtId="0" fontId="68" fillId="0" borderId="8" xfId="0" applyFont="1" applyFill="1" applyBorder="1" applyAlignment="1">
      <alignment horizontal="center" vertical="center"/>
    </xf>
    <xf numFmtId="0" fontId="68" fillId="0" borderId="0" xfId="0" applyFont="1" applyFill="1" applyBorder="1" applyAlignment="1">
      <alignment horizontal="center" vertical="center"/>
    </xf>
    <xf numFmtId="0" fontId="68" fillId="0" borderId="12" xfId="0" applyFont="1" applyFill="1" applyBorder="1" applyAlignment="1">
      <alignment horizontal="center" vertical="center"/>
    </xf>
    <xf numFmtId="0" fontId="67" fillId="12" borderId="8" xfId="0" applyFont="1" applyFill="1" applyBorder="1" applyAlignment="1">
      <alignment vertical="center"/>
    </xf>
    <xf numFmtId="0" fontId="67" fillId="12" borderId="0" xfId="0" applyFont="1" applyFill="1" applyBorder="1" applyAlignment="1">
      <alignment vertical="center"/>
    </xf>
    <xf numFmtId="0" fontId="67" fillId="12" borderId="12" xfId="0" applyFont="1" applyFill="1" applyBorder="1" applyAlignment="1">
      <alignment vertical="center"/>
    </xf>
    <xf numFmtId="0" fontId="31" fillId="14" borderId="8" xfId="0" applyFont="1" applyFill="1" applyBorder="1" applyAlignment="1">
      <alignment horizontal="center"/>
    </xf>
    <xf numFmtId="0" fontId="75" fillId="14" borderId="0" xfId="0" applyFont="1" applyFill="1" applyBorder="1" applyAlignment="1">
      <alignment horizontal="center"/>
    </xf>
    <xf numFmtId="0" fontId="75" fillId="14" borderId="12" xfId="0" applyFont="1" applyFill="1" applyBorder="1" applyAlignment="1">
      <alignment horizontal="center"/>
    </xf>
    <xf numFmtId="0" fontId="0" fillId="0" borderId="4" xfId="0" applyBorder="1" applyAlignment="1">
      <alignment horizontal="center"/>
    </xf>
    <xf numFmtId="0" fontId="0" fillId="0" borderId="13" xfId="0" applyBorder="1" applyAlignment="1">
      <alignment horizontal="center"/>
    </xf>
    <xf numFmtId="0" fontId="0" fillId="0" borderId="10" xfId="0" applyBorder="1" applyAlignment="1">
      <alignment horizontal="center"/>
    </xf>
    <xf numFmtId="167" fontId="22" fillId="0" borderId="19" xfId="0" applyNumberFormat="1" applyFont="1" applyFill="1" applyBorder="1" applyAlignment="1">
      <alignment horizontal="center" vertical="center"/>
    </xf>
    <xf numFmtId="0" fontId="22" fillId="0" borderId="60" xfId="0" applyFont="1" applyBorder="1" applyAlignment="1">
      <alignment horizontal="center" vertical="center"/>
    </xf>
    <xf numFmtId="167" fontId="22" fillId="0" borderId="62" xfId="0" applyNumberFormat="1" applyFont="1" applyFill="1" applyBorder="1" applyAlignment="1">
      <alignment horizontal="center" vertical="center"/>
    </xf>
    <xf numFmtId="0" fontId="23" fillId="0" borderId="19" xfId="0" applyFont="1" applyBorder="1" applyAlignment="1">
      <alignment horizontal="center" vertical="center"/>
    </xf>
    <xf numFmtId="0" fontId="23" fillId="0" borderId="60" xfId="0" applyFont="1" applyBorder="1" applyAlignment="1">
      <alignment horizontal="center" vertical="center"/>
    </xf>
    <xf numFmtId="0" fontId="23" fillId="0" borderId="62" xfId="0" applyFont="1" applyBorder="1" applyAlignment="1">
      <alignment horizontal="center" vertical="center"/>
    </xf>
    <xf numFmtId="0" fontId="23" fillId="0" borderId="48" xfId="0" applyFont="1" applyBorder="1" applyAlignment="1">
      <alignment horizontal="center" vertical="center"/>
    </xf>
    <xf numFmtId="0" fontId="23" fillId="0" borderId="58" xfId="0" applyFont="1" applyBorder="1" applyAlignment="1">
      <alignment horizontal="center" vertical="center"/>
    </xf>
    <xf numFmtId="0" fontId="23" fillId="0" borderId="16" xfId="0" applyFont="1" applyBorder="1" applyAlignment="1">
      <alignment horizontal="center" vertical="center"/>
    </xf>
    <xf numFmtId="0" fontId="23" fillId="0" borderId="72" xfId="0" applyFont="1" applyBorder="1" applyAlignment="1">
      <alignment horizontal="center" vertical="center"/>
    </xf>
    <xf numFmtId="0" fontId="4" fillId="2" borderId="44" xfId="0" applyFont="1" applyFill="1" applyBorder="1" applyAlignment="1">
      <alignment horizontal="center" vertical="center" wrapText="1"/>
    </xf>
    <xf numFmtId="167" fontId="22" fillId="0" borderId="19" xfId="2" applyNumberFormat="1" applyFont="1" applyBorder="1" applyAlignment="1">
      <alignment horizontal="center" vertical="center"/>
    </xf>
    <xf numFmtId="167" fontId="22" fillId="0" borderId="72" xfId="2" applyNumberFormat="1" applyFont="1" applyBorder="1" applyAlignment="1">
      <alignment horizontal="center" vertical="center"/>
    </xf>
    <xf numFmtId="0" fontId="22" fillId="2" borderId="36" xfId="0" applyFont="1" applyFill="1" applyBorder="1" applyAlignment="1">
      <alignment horizontal="center" vertical="center" wrapText="1"/>
    </xf>
    <xf numFmtId="0" fontId="22" fillId="2" borderId="44"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3" fillId="0" borderId="63" xfId="0" applyFont="1" applyBorder="1" applyAlignment="1">
      <alignment horizontal="center" vertical="center"/>
    </xf>
    <xf numFmtId="0" fontId="23" fillId="0" borderId="56" xfId="0" applyFont="1" applyBorder="1" applyAlignment="1">
      <alignment horizontal="center" vertical="center"/>
    </xf>
    <xf numFmtId="167" fontId="22" fillId="0" borderId="62" xfId="2" applyNumberFormat="1" applyFont="1" applyBorder="1" applyAlignment="1">
      <alignment horizontal="center" vertical="center"/>
    </xf>
    <xf numFmtId="167" fontId="22" fillId="0" borderId="58" xfId="2" applyNumberFormat="1" applyFont="1" applyBorder="1" applyAlignment="1">
      <alignment horizontal="center" vertical="center"/>
    </xf>
    <xf numFmtId="0" fontId="22" fillId="0" borderId="62" xfId="0" applyFont="1" applyBorder="1" applyAlignment="1">
      <alignment horizontal="center" vertical="center"/>
    </xf>
    <xf numFmtId="0" fontId="22" fillId="0" borderId="48" xfId="0" applyFont="1" applyBorder="1" applyAlignment="1">
      <alignment horizontal="center" vertical="center"/>
    </xf>
    <xf numFmtId="0" fontId="22" fillId="0" borderId="58" xfId="0" applyFont="1" applyBorder="1" applyAlignment="1">
      <alignment horizontal="center" vertical="center"/>
    </xf>
    <xf numFmtId="0" fontId="22" fillId="0" borderId="16" xfId="0" applyFont="1" applyBorder="1" applyAlignment="1">
      <alignment horizontal="center" vertical="center"/>
    </xf>
    <xf numFmtId="0" fontId="22" fillId="0" borderId="19" xfId="0" applyFont="1" applyBorder="1" applyAlignment="1">
      <alignment horizontal="center" vertical="center"/>
    </xf>
    <xf numFmtId="0" fontId="22" fillId="0" borderId="72" xfId="0" applyFont="1" applyBorder="1" applyAlignment="1">
      <alignment horizontal="center" vertical="center"/>
    </xf>
    <xf numFmtId="0" fontId="4" fillId="2" borderId="36"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62" xfId="0" applyFont="1" applyBorder="1" applyAlignment="1">
      <alignment horizontal="center" vertical="center"/>
    </xf>
    <xf numFmtId="167" fontId="22" fillId="0" borderId="62" xfId="0" applyNumberFormat="1" applyFont="1" applyBorder="1" applyAlignment="1">
      <alignment horizontal="center" vertical="center"/>
    </xf>
    <xf numFmtId="167" fontId="22" fillId="0" borderId="60" xfId="2" applyNumberFormat="1" applyFont="1" applyBorder="1" applyAlignment="1">
      <alignment horizontal="center" vertical="center"/>
    </xf>
    <xf numFmtId="167" fontId="22" fillId="0" borderId="56" xfId="2" applyNumberFormat="1" applyFont="1" applyBorder="1" applyAlignment="1">
      <alignment horizontal="center" vertical="center"/>
    </xf>
    <xf numFmtId="0" fontId="23" fillId="0" borderId="16" xfId="0" applyFont="1" applyFill="1" applyBorder="1" applyAlignment="1">
      <alignment horizontal="center" vertical="center"/>
    </xf>
    <xf numFmtId="0" fontId="23" fillId="0" borderId="72" xfId="0" applyFont="1" applyFill="1" applyBorder="1" applyAlignment="1">
      <alignment horizontal="center" vertical="center"/>
    </xf>
    <xf numFmtId="168" fontId="22" fillId="0" borderId="19" xfId="0" applyNumberFormat="1" applyFont="1" applyBorder="1" applyAlignment="1">
      <alignment horizontal="center" vertical="center"/>
    </xf>
    <xf numFmtId="0" fontId="36" fillId="0" borderId="60" xfId="0" applyFont="1" applyBorder="1" applyAlignment="1">
      <alignment horizontal="center" vertical="center"/>
    </xf>
    <xf numFmtId="0" fontId="39" fillId="0" borderId="62" xfId="0" applyFont="1" applyBorder="1" applyAlignment="1">
      <alignment horizontal="center" vertical="center" wrapText="1"/>
    </xf>
    <xf numFmtId="0" fontId="41" fillId="8" borderId="36" xfId="0" applyFont="1" applyFill="1" applyBorder="1" applyAlignment="1">
      <alignment horizontal="center" vertical="center"/>
    </xf>
    <xf numFmtId="0" fontId="41" fillId="8" borderId="44" xfId="0" applyFont="1" applyFill="1" applyBorder="1" applyAlignment="1">
      <alignment horizontal="center" vertical="center"/>
    </xf>
    <xf numFmtId="0" fontId="41" fillId="8" borderId="9" xfId="0" applyFont="1" applyFill="1" applyBorder="1" applyAlignment="1">
      <alignment horizontal="center" vertical="center"/>
    </xf>
    <xf numFmtId="0" fontId="8" fillId="0" borderId="67" xfId="0" applyFont="1" applyBorder="1" applyAlignment="1">
      <alignment horizontal="left" vertical="center" wrapText="1"/>
    </xf>
    <xf numFmtId="0" fontId="8" fillId="0" borderId="0" xfId="0" applyFont="1" applyBorder="1" applyAlignment="1">
      <alignment horizontal="left" vertical="center" wrapText="1"/>
    </xf>
    <xf numFmtId="0" fontId="8" fillId="0" borderId="61" xfId="0" applyFont="1" applyBorder="1" applyAlignment="1">
      <alignment horizontal="left" vertical="center" wrapText="1"/>
    </xf>
    <xf numFmtId="168" fontId="22" fillId="0" borderId="63" xfId="1" applyNumberFormat="1" applyFont="1" applyBorder="1" applyAlignment="1">
      <alignment horizontal="center" vertical="center"/>
    </xf>
    <xf numFmtId="168" fontId="22" fillId="0" borderId="60" xfId="1" applyNumberFormat="1" applyFont="1" applyBorder="1" applyAlignment="1">
      <alignment horizontal="center" vertical="center"/>
    </xf>
    <xf numFmtId="168" fontId="22" fillId="0" borderId="48" xfId="1" applyNumberFormat="1" applyFont="1" applyBorder="1" applyAlignment="1">
      <alignment horizontal="center" vertical="center"/>
    </xf>
    <xf numFmtId="168" fontId="22" fillId="0" borderId="62" xfId="1" applyNumberFormat="1" applyFont="1" applyBorder="1" applyAlignment="1">
      <alignment horizontal="center" vertical="center"/>
    </xf>
    <xf numFmtId="168" fontId="22" fillId="4" borderId="16" xfId="1" applyNumberFormat="1" applyFont="1" applyFill="1" applyBorder="1" applyAlignment="1">
      <alignment horizontal="center" vertical="center"/>
    </xf>
    <xf numFmtId="168" fontId="22" fillId="4" borderId="19" xfId="1" applyNumberFormat="1" applyFont="1" applyFill="1" applyBorder="1" applyAlignment="1">
      <alignment horizontal="center" vertical="center"/>
    </xf>
    <xf numFmtId="167" fontId="23" fillId="0" borderId="60" xfId="2" applyNumberFormat="1" applyFont="1" applyBorder="1" applyAlignment="1">
      <alignment horizontal="center" vertical="center"/>
    </xf>
    <xf numFmtId="167" fontId="23" fillId="0" borderId="56" xfId="2" applyNumberFormat="1" applyFont="1" applyBorder="1" applyAlignment="1">
      <alignment horizontal="center" vertical="center"/>
    </xf>
    <xf numFmtId="173" fontId="22" fillId="0" borderId="62" xfId="2" applyNumberFormat="1" applyFont="1" applyBorder="1" applyAlignment="1">
      <alignment horizontal="center" vertical="center"/>
    </xf>
    <xf numFmtId="173" fontId="22" fillId="0" borderId="58" xfId="2" applyNumberFormat="1" applyFont="1" applyBorder="1" applyAlignment="1">
      <alignment horizontal="center" vertical="center"/>
    </xf>
    <xf numFmtId="0" fontId="22" fillId="0" borderId="63" xfId="0" applyFont="1" applyFill="1" applyBorder="1" applyAlignment="1">
      <alignment horizontal="center" vertical="center"/>
    </xf>
    <xf numFmtId="0" fontId="22" fillId="0" borderId="56" xfId="0" applyFont="1" applyFill="1" applyBorder="1" applyAlignment="1">
      <alignment horizontal="center" vertical="center"/>
    </xf>
    <xf numFmtId="0" fontId="22" fillId="0" borderId="48"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48" xfId="0" applyNumberFormat="1" applyFont="1" applyFill="1" applyBorder="1" applyAlignment="1">
      <alignment horizontal="center" vertical="center"/>
    </xf>
    <xf numFmtId="0" fontId="22" fillId="0" borderId="58" xfId="0" applyNumberFormat="1" applyFont="1" applyFill="1" applyBorder="1" applyAlignment="1">
      <alignment horizontal="center" vertical="center"/>
    </xf>
    <xf numFmtId="0" fontId="14" fillId="14" borderId="6"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31" fillId="0" borderId="13" xfId="0" applyFont="1" applyFill="1" applyBorder="1" applyAlignment="1">
      <alignment horizontal="center" wrapText="1"/>
    </xf>
    <xf numFmtId="0" fontId="14" fillId="16" borderId="36" xfId="0" applyFont="1" applyFill="1" applyBorder="1" applyAlignment="1">
      <alignment horizontal="center" vertical="center" wrapText="1"/>
    </xf>
    <xf numFmtId="0" fontId="14" fillId="16" borderId="9" xfId="0" applyFont="1" applyFill="1" applyBorder="1" applyAlignment="1">
      <alignment horizontal="center" vertical="center" wrapText="1"/>
    </xf>
    <xf numFmtId="0" fontId="56" fillId="14" borderId="4" xfId="0" applyFont="1" applyFill="1" applyBorder="1" applyAlignment="1">
      <alignment horizontal="center" vertical="center"/>
    </xf>
    <xf numFmtId="0" fontId="56" fillId="14" borderId="13" xfId="0" applyFont="1" applyFill="1" applyBorder="1" applyAlignment="1">
      <alignment horizontal="center" vertical="center"/>
    </xf>
    <xf numFmtId="0" fontId="56" fillId="14" borderId="10" xfId="0" applyFont="1" applyFill="1" applyBorder="1" applyAlignment="1">
      <alignment horizontal="center" vertical="center"/>
    </xf>
    <xf numFmtId="0" fontId="14" fillId="14" borderId="8" xfId="0" applyFont="1" applyFill="1" applyBorder="1" applyAlignment="1">
      <alignment horizontal="center" vertical="center"/>
    </xf>
    <xf numFmtId="0" fontId="14" fillId="14" borderId="0" xfId="0" applyFont="1" applyFill="1" applyBorder="1" applyAlignment="1">
      <alignment horizontal="center" vertical="center"/>
    </xf>
    <xf numFmtId="0" fontId="14" fillId="14" borderId="12" xfId="0" applyFont="1" applyFill="1" applyBorder="1" applyAlignment="1">
      <alignment horizontal="center" vertical="center"/>
    </xf>
    <xf numFmtId="0" fontId="14" fillId="14" borderId="14" xfId="0" applyFont="1" applyFill="1" applyBorder="1" applyAlignment="1">
      <alignment horizontal="center" vertical="center" wrapText="1"/>
    </xf>
    <xf numFmtId="0" fontId="31" fillId="4" borderId="5" xfId="0" applyFont="1" applyFill="1" applyBorder="1" applyAlignment="1">
      <alignment horizontal="center" vertical="center"/>
    </xf>
    <xf numFmtId="0" fontId="31" fillId="4" borderId="3" xfId="0" applyFont="1" applyFill="1" applyBorder="1" applyAlignment="1">
      <alignment horizontal="center" vertical="center"/>
    </xf>
    <xf numFmtId="0" fontId="14" fillId="15" borderId="36" xfId="0" applyFont="1" applyFill="1" applyBorder="1" applyAlignment="1">
      <alignment horizontal="center" vertical="center" wrapText="1"/>
    </xf>
    <xf numFmtId="0" fontId="14" fillId="15" borderId="44" xfId="0" applyFont="1" applyFill="1" applyBorder="1" applyAlignment="1">
      <alignment horizontal="center" vertical="center" wrapText="1"/>
    </xf>
    <xf numFmtId="0" fontId="14" fillId="15" borderId="9" xfId="0" applyFont="1" applyFill="1" applyBorder="1" applyAlignment="1">
      <alignment horizontal="center" vertical="center" wrapText="1"/>
    </xf>
    <xf numFmtId="0" fontId="31" fillId="16" borderId="74" xfId="0" applyFont="1" applyFill="1" applyBorder="1" applyAlignment="1">
      <alignment horizontal="center" vertical="center" wrapText="1"/>
    </xf>
    <xf numFmtId="0" fontId="31" fillId="16" borderId="60" xfId="0" applyFont="1" applyFill="1" applyBorder="1" applyAlignment="1">
      <alignment horizontal="center" vertical="center" wrapText="1"/>
    </xf>
    <xf numFmtId="0" fontId="31" fillId="16" borderId="56" xfId="0" applyFont="1" applyFill="1" applyBorder="1" applyAlignment="1">
      <alignment horizontal="center" vertical="center" wrapText="1"/>
    </xf>
    <xf numFmtId="0" fontId="31" fillId="14" borderId="60" xfId="0" applyFont="1" applyFill="1" applyBorder="1" applyAlignment="1">
      <alignment horizontal="center" vertical="center" wrapText="1"/>
    </xf>
    <xf numFmtId="0" fontId="31" fillId="14" borderId="56" xfId="0" applyFont="1" applyFill="1" applyBorder="1" applyAlignment="1">
      <alignment horizontal="center" vertical="center" wrapText="1"/>
    </xf>
    <xf numFmtId="0" fontId="31" fillId="4" borderId="40" xfId="0" applyFont="1" applyFill="1" applyBorder="1" applyAlignment="1">
      <alignment horizontal="center" vertical="center"/>
    </xf>
    <xf numFmtId="0" fontId="31" fillId="4" borderId="6" xfId="0" applyFont="1" applyFill="1" applyBorder="1" applyAlignment="1">
      <alignment horizontal="center" vertical="center"/>
    </xf>
    <xf numFmtId="0" fontId="31" fillId="15" borderId="20" xfId="0" applyFont="1" applyFill="1" applyBorder="1" applyAlignment="1">
      <alignment horizontal="center" vertical="center"/>
    </xf>
    <xf numFmtId="0" fontId="31" fillId="15" borderId="73" xfId="0" applyFont="1" applyFill="1" applyBorder="1" applyAlignment="1">
      <alignment horizontal="center" vertical="center"/>
    </xf>
    <xf numFmtId="0" fontId="56" fillId="16" borderId="4" xfId="0" applyFont="1" applyFill="1" applyBorder="1" applyAlignment="1">
      <alignment horizontal="center" vertical="center" wrapText="1"/>
    </xf>
    <xf numFmtId="0" fontId="56" fillId="16" borderId="10" xfId="0" applyFont="1" applyFill="1" applyBorder="1" applyAlignment="1">
      <alignment horizontal="center" vertical="center" wrapText="1"/>
    </xf>
    <xf numFmtId="0" fontId="56" fillId="14" borderId="36" xfId="0" applyFont="1" applyFill="1" applyBorder="1" applyAlignment="1">
      <alignment horizontal="center" vertical="center" wrapText="1"/>
    </xf>
    <xf numFmtId="0" fontId="56" fillId="14" borderId="9" xfId="0" applyFont="1" applyFill="1" applyBorder="1" applyAlignment="1">
      <alignment horizontal="center" vertical="center" wrapText="1"/>
    </xf>
    <xf numFmtId="0" fontId="14" fillId="14" borderId="6" xfId="0" applyFont="1" applyFill="1" applyBorder="1" applyAlignment="1">
      <alignment horizontal="center" vertical="center"/>
    </xf>
    <xf numFmtId="0" fontId="14" fillId="14" borderId="14" xfId="0" applyFont="1" applyFill="1" applyBorder="1" applyAlignment="1">
      <alignment horizontal="center" vertical="center"/>
    </xf>
    <xf numFmtId="0" fontId="14" fillId="14" borderId="11" xfId="0" applyFont="1" applyFill="1" applyBorder="1" applyAlignment="1">
      <alignment horizontal="center" vertical="center"/>
    </xf>
    <xf numFmtId="0" fontId="62" fillId="15" borderId="36" xfId="0" applyFont="1" applyFill="1" applyBorder="1" applyAlignment="1">
      <alignment horizontal="center" vertical="center" wrapText="1"/>
    </xf>
    <xf numFmtId="0" fontId="62" fillId="15" borderId="44" xfId="0" applyFont="1" applyFill="1" applyBorder="1" applyAlignment="1">
      <alignment horizontal="center" vertical="center" wrapText="1"/>
    </xf>
    <xf numFmtId="0" fontId="62" fillId="15" borderId="9"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4" borderId="44" xfId="0" applyFont="1" applyFill="1" applyBorder="1" applyAlignment="1">
      <alignment horizontal="center" vertical="center" wrapText="1"/>
    </xf>
    <xf numFmtId="0" fontId="31" fillId="14" borderId="9" xfId="0" applyFont="1" applyFill="1" applyBorder="1" applyAlignment="1">
      <alignment horizontal="center" vertical="center" wrapText="1"/>
    </xf>
    <xf numFmtId="0" fontId="31" fillId="15" borderId="4" xfId="0" applyFont="1" applyFill="1" applyBorder="1" applyAlignment="1">
      <alignment horizontal="center" vertical="center"/>
    </xf>
    <xf numFmtId="0" fontId="31" fillId="15" borderId="6" xfId="0" applyFont="1" applyFill="1" applyBorder="1" applyAlignment="1">
      <alignment horizontal="center" vertical="center"/>
    </xf>
    <xf numFmtId="0" fontId="2" fillId="0" borderId="16" xfId="0" applyFont="1" applyBorder="1" applyAlignment="1">
      <alignment horizontal="center" vertical="center"/>
    </xf>
    <xf numFmtId="0" fontId="0" fillId="0" borderId="19" xfId="0" applyBorder="1" applyAlignment="1">
      <alignment horizontal="center" vertical="center"/>
    </xf>
    <xf numFmtId="0" fontId="2" fillId="0" borderId="38" xfId="0" applyFont="1" applyBorder="1" applyAlignment="1">
      <alignment horizontal="center"/>
    </xf>
    <xf numFmtId="0" fontId="2" fillId="0" borderId="43" xfId="0" applyFont="1" applyBorder="1" applyAlignment="1">
      <alignment horizontal="center"/>
    </xf>
    <xf numFmtId="0" fontId="2" fillId="0" borderId="74" xfId="0" applyFont="1" applyBorder="1" applyAlignment="1">
      <alignment horizontal="center"/>
    </xf>
    <xf numFmtId="0" fontId="2" fillId="0" borderId="1" xfId="0" applyFont="1" applyBorder="1" applyAlignment="1">
      <alignment horizontal="center"/>
    </xf>
    <xf numFmtId="0" fontId="2" fillId="0" borderId="31" xfId="0" applyFont="1" applyBorder="1" applyAlignment="1">
      <alignment horizontal="center"/>
    </xf>
    <xf numFmtId="0" fontId="2" fillId="0" borderId="45" xfId="0" applyFont="1" applyBorder="1" applyAlignment="1">
      <alignment horizontal="center"/>
    </xf>
    <xf numFmtId="0" fontId="0" fillId="0" borderId="1" xfId="0" applyBorder="1" applyAlignment="1">
      <alignment horizontal="center"/>
    </xf>
    <xf numFmtId="0" fontId="0" fillId="0" borderId="31" xfId="0" applyBorder="1" applyAlignment="1">
      <alignment horizontal="center"/>
    </xf>
    <xf numFmtId="0" fontId="0" fillId="0" borderId="45" xfId="0" applyBorder="1" applyAlignment="1">
      <alignment horizontal="center"/>
    </xf>
    <xf numFmtId="0" fontId="2" fillId="0" borderId="62" xfId="0" applyFont="1" applyBorder="1" applyAlignment="1">
      <alignment horizontal="left" vertical="center"/>
    </xf>
    <xf numFmtId="0" fontId="2" fillId="0" borderId="58" xfId="0" applyFont="1" applyBorder="1" applyAlignment="1">
      <alignment horizontal="left" vertical="center"/>
    </xf>
    <xf numFmtId="0" fontId="34" fillId="0" borderId="48" xfId="0" applyFont="1" applyBorder="1" applyAlignment="1">
      <alignment horizontal="center" vertical="center" wrapText="1"/>
    </xf>
    <xf numFmtId="0" fontId="34" fillId="0" borderId="62" xfId="0" applyFont="1" applyBorder="1" applyAlignment="1">
      <alignment horizontal="center" vertical="center" wrapText="1"/>
    </xf>
    <xf numFmtId="0" fontId="34" fillId="0" borderId="58" xfId="0" applyFont="1" applyBorder="1" applyAlignment="1">
      <alignment horizontal="center" vertical="center" wrapText="1"/>
    </xf>
    <xf numFmtId="0" fontId="2" fillId="0" borderId="62" xfId="0" applyFont="1" applyBorder="1" applyAlignment="1">
      <alignment horizontal="left" vertical="center" wrapText="1"/>
    </xf>
    <xf numFmtId="0" fontId="2" fillId="0" borderId="58" xfId="0" applyFont="1" applyBorder="1" applyAlignment="1">
      <alignment horizontal="left" vertical="center" wrapText="1"/>
    </xf>
    <xf numFmtId="0" fontId="2" fillId="0" borderId="0"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3" xfId="0" applyFont="1" applyBorder="1" applyAlignment="1">
      <alignment horizontal="center" vertical="center" wrapText="1"/>
    </xf>
    <xf numFmtId="0" fontId="2" fillId="15" borderId="36" xfId="0" applyFont="1" applyFill="1" applyBorder="1" applyAlignment="1">
      <alignment horizontal="left" vertical="center" wrapText="1"/>
    </xf>
    <xf numFmtId="0" fontId="2" fillId="15" borderId="44" xfId="0" applyFont="1" applyFill="1" applyBorder="1" applyAlignment="1">
      <alignment horizontal="left" vertical="center" wrapText="1"/>
    </xf>
    <xf numFmtId="0" fontId="2" fillId="15" borderId="9" xfId="0" applyFont="1" applyFill="1" applyBorder="1" applyAlignment="1">
      <alignment horizontal="left" vertical="center" wrapText="1"/>
    </xf>
    <xf numFmtId="10" fontId="0" fillId="0" borderId="24" xfId="0" applyNumberFormat="1" applyBorder="1" applyAlignment="1">
      <alignment horizontal="center" vertical="center"/>
    </xf>
    <xf numFmtId="10" fontId="0" fillId="0" borderId="29" xfId="0" applyNumberFormat="1" applyBorder="1" applyAlignment="1">
      <alignment horizontal="center" vertical="center"/>
    </xf>
    <xf numFmtId="0" fontId="2" fillId="0" borderId="48" xfId="0" applyFont="1" applyBorder="1" applyAlignment="1">
      <alignment horizontal="center"/>
    </xf>
    <xf numFmtId="0" fontId="2" fillId="0" borderId="62" xfId="0" applyFont="1" applyBorder="1" applyAlignment="1">
      <alignment horizontal="center"/>
    </xf>
    <xf numFmtId="0" fontId="4" fillId="4" borderId="64" xfId="0" applyFont="1" applyFill="1" applyBorder="1" applyAlignment="1">
      <alignment horizontal="center" vertical="center"/>
    </xf>
    <xf numFmtId="0" fontId="4" fillId="4" borderId="28" xfId="0" applyFont="1" applyFill="1" applyBorder="1" applyAlignment="1">
      <alignment horizontal="center" vertical="center"/>
    </xf>
    <xf numFmtId="3" fontId="4" fillId="4" borderId="64" xfId="0" applyNumberFormat="1" applyFont="1" applyFill="1" applyBorder="1" applyAlignment="1">
      <alignment horizontal="center" vertical="center"/>
    </xf>
    <xf numFmtId="3" fontId="4" fillId="4" borderId="28" xfId="0" applyNumberFormat="1" applyFont="1" applyFill="1" applyBorder="1" applyAlignment="1">
      <alignment horizontal="center" vertical="center"/>
    </xf>
    <xf numFmtId="0" fontId="1" fillId="0" borderId="2" xfId="0" applyFont="1" applyBorder="1" applyAlignment="1">
      <alignment horizontal="left" vertical="center"/>
    </xf>
    <xf numFmtId="0" fontId="1" fillId="0" borderId="37" xfId="0" applyFont="1" applyBorder="1" applyAlignment="1">
      <alignment horizontal="left" vertical="center"/>
    </xf>
    <xf numFmtId="0" fontId="65" fillId="0" borderId="20" xfId="0" applyFont="1" applyBorder="1" applyAlignment="1">
      <alignment vertical="center"/>
    </xf>
    <xf numFmtId="0" fontId="65" fillId="0" borderId="50" xfId="0" applyFont="1" applyBorder="1" applyAlignment="1">
      <alignment vertical="center"/>
    </xf>
    <xf numFmtId="0" fontId="4" fillId="0" borderId="64" xfId="0" applyFont="1" applyBorder="1" applyAlignment="1">
      <alignment horizontal="center" vertical="center"/>
    </xf>
    <xf numFmtId="0" fontId="4" fillId="0" borderId="28" xfId="0" applyFont="1" applyBorder="1" applyAlignment="1">
      <alignment horizontal="center" vertical="center"/>
    </xf>
    <xf numFmtId="0" fontId="66" fillId="12" borderId="2" xfId="0" applyFont="1" applyFill="1" applyBorder="1" applyAlignment="1">
      <alignment horizontal="left" vertical="center" wrapText="1"/>
    </xf>
    <xf numFmtId="0" fontId="66" fillId="12" borderId="37" xfId="0" applyFont="1" applyFill="1" applyBorder="1" applyAlignment="1">
      <alignment horizontal="left" vertical="center" wrapText="1"/>
    </xf>
    <xf numFmtId="3" fontId="4" fillId="4" borderId="49" xfId="0" applyNumberFormat="1" applyFont="1" applyFill="1" applyBorder="1" applyAlignment="1">
      <alignment horizontal="center" vertical="center"/>
    </xf>
    <xf numFmtId="3" fontId="4" fillId="4" borderId="22" xfId="0" applyNumberFormat="1" applyFont="1" applyFill="1" applyBorder="1" applyAlignment="1">
      <alignment horizontal="center" vertical="center"/>
    </xf>
    <xf numFmtId="4" fontId="4" fillId="11" borderId="2" xfId="0" applyNumberFormat="1" applyFont="1" applyFill="1" applyBorder="1" applyAlignment="1">
      <alignment horizontal="left" vertical="center" wrapText="1"/>
    </xf>
    <xf numFmtId="4" fontId="4" fillId="11" borderId="18" xfId="0" applyNumberFormat="1" applyFont="1" applyFill="1" applyBorder="1" applyAlignment="1">
      <alignment horizontal="left" vertical="center" wrapText="1"/>
    </xf>
    <xf numFmtId="4" fontId="4" fillId="12" borderId="16" xfId="0" applyNumberFormat="1" applyFont="1" applyFill="1" applyBorder="1" applyAlignment="1">
      <alignment horizontal="left" vertical="center" wrapText="1"/>
    </xf>
    <xf numFmtId="4" fontId="4" fillId="12" borderId="72" xfId="0" applyNumberFormat="1" applyFont="1" applyFill="1" applyBorder="1" applyAlignment="1">
      <alignment horizontal="left" vertical="center" wrapText="1"/>
    </xf>
    <xf numFmtId="4" fontId="38" fillId="4" borderId="4" xfId="0" applyNumberFormat="1" applyFont="1" applyFill="1" applyBorder="1" applyAlignment="1">
      <alignment horizontal="left" vertical="center" wrapText="1"/>
    </xf>
    <xf numFmtId="4" fontId="38" fillId="4" borderId="10" xfId="0" applyNumberFormat="1" applyFont="1" applyFill="1" applyBorder="1" applyAlignment="1">
      <alignment horizontal="left" vertical="center" wrapText="1"/>
    </xf>
    <xf numFmtId="4" fontId="38" fillId="4" borderId="8" xfId="0" applyNumberFormat="1" applyFont="1" applyFill="1" applyBorder="1" applyAlignment="1">
      <alignment horizontal="left" vertical="center" wrapText="1"/>
    </xf>
    <xf numFmtId="4" fontId="38" fillId="4" borderId="12" xfId="0" applyNumberFormat="1" applyFont="1" applyFill="1" applyBorder="1" applyAlignment="1">
      <alignment horizontal="left" vertical="center" wrapText="1"/>
    </xf>
    <xf numFmtId="4" fontId="4" fillId="4" borderId="63" xfId="0" applyNumberFormat="1" applyFont="1" applyFill="1" applyBorder="1" applyAlignment="1">
      <alignment horizontal="center" vertical="center" wrapText="1"/>
    </xf>
    <xf numFmtId="4" fontId="4" fillId="4" borderId="56" xfId="0" applyNumberFormat="1" applyFont="1" applyFill="1" applyBorder="1" applyAlignment="1">
      <alignment horizontal="center" vertical="center" wrapText="1"/>
    </xf>
    <xf numFmtId="4" fontId="4" fillId="4" borderId="13" xfId="0" applyNumberFormat="1" applyFont="1" applyFill="1" applyBorder="1" applyAlignment="1">
      <alignment horizontal="center"/>
    </xf>
    <xf numFmtId="4" fontId="4" fillId="12" borderId="63" xfId="0" applyNumberFormat="1" applyFont="1" applyFill="1" applyBorder="1" applyAlignment="1">
      <alignment horizontal="left" vertical="center" wrapText="1"/>
    </xf>
    <xf numFmtId="4" fontId="4" fillId="12" borderId="56" xfId="0" applyNumberFormat="1" applyFont="1" applyFill="1" applyBorder="1" applyAlignment="1">
      <alignment horizontal="left" vertical="center" wrapText="1"/>
    </xf>
    <xf numFmtId="4" fontId="4" fillId="12" borderId="48" xfId="0" applyNumberFormat="1" applyFont="1" applyFill="1" applyBorder="1" applyAlignment="1">
      <alignment horizontal="left" vertical="center" wrapText="1"/>
    </xf>
    <xf numFmtId="4" fontId="4" fillId="12" borderId="58" xfId="0" applyNumberFormat="1" applyFont="1" applyFill="1" applyBorder="1" applyAlignment="1">
      <alignment horizontal="left" vertical="center" wrapText="1"/>
    </xf>
    <xf numFmtId="4" fontId="4" fillId="11" borderId="35" xfId="0" applyNumberFormat="1" applyFont="1" applyFill="1" applyBorder="1" applyAlignment="1">
      <alignment horizontal="left" vertical="center" wrapText="1"/>
    </xf>
    <xf numFmtId="4" fontId="4" fillId="11" borderId="57" xfId="0" applyNumberFormat="1" applyFont="1" applyFill="1" applyBorder="1" applyAlignment="1">
      <alignment horizontal="left" vertical="center" wrapText="1"/>
    </xf>
    <xf numFmtId="4" fontId="4" fillId="11" borderId="48" xfId="0" applyNumberFormat="1" applyFont="1" applyFill="1" applyBorder="1" applyAlignment="1">
      <alignment horizontal="left" vertical="center" wrapText="1"/>
    </xf>
    <xf numFmtId="4" fontId="4" fillId="11" borderId="58" xfId="0" applyNumberFormat="1" applyFont="1" applyFill="1" applyBorder="1" applyAlignment="1">
      <alignment horizontal="left" vertical="center" wrapText="1"/>
    </xf>
    <xf numFmtId="4" fontId="4" fillId="4" borderId="64" xfId="0" applyNumberFormat="1" applyFont="1" applyFill="1" applyBorder="1" applyAlignment="1">
      <alignment horizontal="center" vertical="center"/>
    </xf>
    <xf numFmtId="4" fontId="4" fillId="4" borderId="28" xfId="0" applyNumberFormat="1" applyFont="1" applyFill="1" applyBorder="1" applyAlignment="1">
      <alignment horizontal="center" vertical="center"/>
    </xf>
    <xf numFmtId="1" fontId="4" fillId="4" borderId="64" xfId="0" applyNumberFormat="1" applyFont="1" applyFill="1" applyBorder="1" applyAlignment="1">
      <alignment horizontal="center" vertical="center"/>
    </xf>
    <xf numFmtId="1" fontId="4" fillId="4" borderId="28" xfId="0" applyNumberFormat="1" applyFont="1" applyFill="1" applyBorder="1" applyAlignment="1">
      <alignment horizontal="center" vertical="center"/>
    </xf>
    <xf numFmtId="0" fontId="22" fillId="0" borderId="0" xfId="0" applyFont="1" applyFill="1" applyAlignment="1"/>
    <xf numFmtId="0" fontId="21" fillId="0" borderId="4"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12" xfId="0" applyFont="1" applyFill="1" applyBorder="1" applyAlignment="1">
      <alignment horizontal="center" vertical="center"/>
    </xf>
    <xf numFmtId="0" fontId="4" fillId="4" borderId="45" xfId="0" applyFont="1" applyFill="1" applyBorder="1" applyAlignment="1">
      <alignment horizontal="center" vertical="center"/>
    </xf>
    <xf numFmtId="0" fontId="22" fillId="4" borderId="62" xfId="0" applyFont="1" applyFill="1" applyBorder="1" applyAlignment="1">
      <alignment horizontal="center" vertical="center"/>
    </xf>
    <xf numFmtId="0" fontId="22" fillId="4" borderId="30" xfId="0" applyFont="1" applyFill="1" applyBorder="1" applyAlignment="1">
      <alignment horizontal="center" vertical="center"/>
    </xf>
    <xf numFmtId="0" fontId="22" fillId="4" borderId="52" xfId="0" applyFont="1" applyFill="1" applyBorder="1" applyAlignment="1">
      <alignment horizontal="center" vertical="center"/>
    </xf>
    <xf numFmtId="0" fontId="22" fillId="4" borderId="23"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74" xfId="0" applyFont="1" applyFill="1" applyBorder="1" applyAlignment="1">
      <alignment horizontal="center" vertical="center" wrapText="1"/>
    </xf>
    <xf numFmtId="0" fontId="4" fillId="4" borderId="60" xfId="0" applyFont="1" applyFill="1" applyBorder="1" applyAlignment="1">
      <alignment horizontal="center" vertical="center" wrapText="1"/>
    </xf>
    <xf numFmtId="0" fontId="4" fillId="4" borderId="56" xfId="0" applyFont="1" applyFill="1" applyBorder="1" applyAlignment="1">
      <alignment horizontal="center" vertical="center" wrapText="1"/>
    </xf>
    <xf numFmtId="3" fontId="48" fillId="4" borderId="51" xfId="0" applyNumberFormat="1" applyFont="1" applyFill="1" applyBorder="1" applyAlignment="1">
      <alignment horizontal="center"/>
    </xf>
    <xf numFmtId="3" fontId="48" fillId="4" borderId="61" xfId="0" applyNumberFormat="1" applyFont="1" applyFill="1" applyBorder="1" applyAlignment="1">
      <alignment horizontal="center"/>
    </xf>
    <xf numFmtId="3" fontId="48" fillId="4" borderId="27" xfId="0" applyNumberFormat="1" applyFont="1" applyFill="1" applyBorder="1" applyAlignment="1">
      <alignment horizontal="center"/>
    </xf>
    <xf numFmtId="0" fontId="4" fillId="4" borderId="52"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31" xfId="0" applyFont="1" applyFill="1" applyBorder="1" applyAlignment="1">
      <alignment horizontal="center" vertical="center" wrapText="1"/>
    </xf>
    <xf numFmtId="0" fontId="4" fillId="4" borderId="52" xfId="0" applyFont="1" applyFill="1" applyBorder="1" applyAlignment="1">
      <alignment horizontal="center" vertical="center" wrapText="1"/>
    </xf>
    <xf numFmtId="0" fontId="48" fillId="4" borderId="74" xfId="0" applyFont="1" applyFill="1" applyBorder="1" applyAlignment="1">
      <alignment horizontal="center"/>
    </xf>
    <xf numFmtId="0" fontId="48" fillId="4" borderId="60" xfId="0" applyFont="1" applyFill="1" applyBorder="1" applyAlignment="1">
      <alignment horizontal="center"/>
    </xf>
    <xf numFmtId="0" fontId="48" fillId="4" borderId="25" xfId="0" applyFont="1" applyFill="1" applyBorder="1" applyAlignment="1">
      <alignment horizontal="center"/>
    </xf>
    <xf numFmtId="0" fontId="4" fillId="4" borderId="23" xfId="0" applyFont="1" applyFill="1" applyBorder="1" applyAlignment="1">
      <alignment horizontal="center" vertical="center" wrapText="1"/>
    </xf>
    <xf numFmtId="0" fontId="4" fillId="4" borderId="41"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65" xfId="0" applyFont="1" applyFill="1" applyBorder="1" applyAlignment="1">
      <alignment horizontal="center" vertical="center"/>
    </xf>
    <xf numFmtId="0" fontId="4" fillId="0" borderId="23"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0" fontId="4" fillId="0" borderId="42" xfId="0" applyFont="1" applyBorder="1" applyAlignment="1">
      <alignment horizontal="center" vertical="center"/>
    </xf>
    <xf numFmtId="0" fontId="4" fillId="0" borderId="73" xfId="0" applyFont="1" applyBorder="1" applyAlignment="1">
      <alignment horizontal="center" vertical="center"/>
    </xf>
    <xf numFmtId="0" fontId="4" fillId="0" borderId="52" xfId="0" applyFont="1" applyBorder="1" applyAlignment="1">
      <alignment horizontal="center" vertical="center"/>
    </xf>
    <xf numFmtId="0" fontId="4" fillId="0" borderId="46" xfId="0" applyFont="1" applyBorder="1" applyAlignment="1">
      <alignment horizontal="center" vertical="center"/>
    </xf>
    <xf numFmtId="0" fontId="4" fillId="0" borderId="41" xfId="0" applyFont="1" applyBorder="1" applyAlignment="1">
      <alignment horizontal="center" vertical="center"/>
    </xf>
    <xf numFmtId="0" fontId="4" fillId="0" borderId="34" xfId="0" applyFont="1" applyBorder="1" applyAlignment="1">
      <alignment horizontal="center" vertical="center"/>
    </xf>
    <xf numFmtId="0" fontId="4" fillId="0" borderId="43" xfId="0" applyFont="1" applyBorder="1" applyAlignment="1">
      <alignment horizontal="center" vertical="center"/>
    </xf>
    <xf numFmtId="0" fontId="4" fillId="0" borderId="39" xfId="0" applyFont="1" applyBorder="1" applyAlignment="1">
      <alignment horizontal="center" vertical="center"/>
    </xf>
    <xf numFmtId="0" fontId="21" fillId="0" borderId="4" xfId="0" applyFont="1" applyBorder="1" applyAlignment="1">
      <alignment horizontal="center" vertical="center"/>
    </xf>
    <xf numFmtId="0" fontId="21" fillId="0" borderId="13" xfId="0" applyFont="1" applyBorder="1" applyAlignment="1">
      <alignment horizontal="center" vertical="center"/>
    </xf>
    <xf numFmtId="0" fontId="21" fillId="0" borderId="8" xfId="0" applyFont="1" applyBorder="1" applyAlignment="1">
      <alignment horizontal="center" vertical="center"/>
    </xf>
    <xf numFmtId="0" fontId="21" fillId="0" borderId="0" xfId="0" applyFont="1" applyBorder="1" applyAlignment="1">
      <alignment horizontal="center" vertical="center"/>
    </xf>
    <xf numFmtId="0" fontId="21" fillId="0" borderId="6" xfId="0" applyFont="1" applyBorder="1" applyAlignment="1">
      <alignment horizontal="center" vertical="center"/>
    </xf>
    <xf numFmtId="0" fontId="21" fillId="0" borderId="14" xfId="0" applyFont="1" applyBorder="1" applyAlignment="1">
      <alignment horizontal="center" vertical="center"/>
    </xf>
    <xf numFmtId="0" fontId="47" fillId="0" borderId="5" xfId="0" applyFont="1" applyBorder="1" applyAlignment="1">
      <alignment horizontal="center" vertical="center"/>
    </xf>
    <xf numFmtId="0" fontId="47" fillId="0" borderId="7" xfId="0" applyFont="1" applyBorder="1" applyAlignment="1">
      <alignment horizontal="center" vertical="center"/>
    </xf>
    <xf numFmtId="0" fontId="4" fillId="3" borderId="2" xfId="0" applyFont="1" applyFill="1" applyBorder="1" applyAlignment="1">
      <alignment horizontal="left" vertical="center" wrapText="1"/>
    </xf>
    <xf numFmtId="0" fontId="4" fillId="3" borderId="37" xfId="0" applyFont="1" applyFill="1" applyBorder="1" applyAlignment="1">
      <alignment horizontal="left" vertical="center" wrapText="1"/>
    </xf>
    <xf numFmtId="0" fontId="5" fillId="0" borderId="70" xfId="0" applyFont="1" applyBorder="1" applyAlignment="1">
      <alignment horizontal="center"/>
    </xf>
    <xf numFmtId="0" fontId="5" fillId="0" borderId="65" xfId="0" applyFont="1" applyBorder="1" applyAlignment="1">
      <alignment horizontal="center"/>
    </xf>
    <xf numFmtId="3" fontId="48" fillId="4" borderId="74" xfId="0" applyNumberFormat="1" applyFont="1" applyFill="1" applyBorder="1" applyAlignment="1">
      <alignment horizontal="center" vertical="center"/>
    </xf>
    <xf numFmtId="3" fontId="48" fillId="4" borderId="60" xfId="0" applyNumberFormat="1" applyFont="1" applyFill="1" applyBorder="1" applyAlignment="1">
      <alignment horizontal="center" vertical="center"/>
    </xf>
    <xf numFmtId="3" fontId="48" fillId="4" borderId="25" xfId="0" applyNumberFormat="1" applyFont="1" applyFill="1" applyBorder="1" applyAlignment="1">
      <alignment horizontal="center" vertical="center"/>
    </xf>
    <xf numFmtId="4" fontId="4" fillId="4" borderId="4" xfId="0" applyNumberFormat="1" applyFont="1" applyFill="1" applyBorder="1" applyAlignment="1">
      <alignment horizontal="center" vertical="center" wrapText="1"/>
    </xf>
    <xf numFmtId="4" fontId="4" fillId="4" borderId="13" xfId="0" applyNumberFormat="1" applyFont="1" applyFill="1" applyBorder="1" applyAlignment="1">
      <alignment horizontal="center" vertical="center" wrapText="1"/>
    </xf>
    <xf numFmtId="4" fontId="4" fillId="13" borderId="16" xfId="0" applyNumberFormat="1" applyFont="1" applyFill="1" applyBorder="1" applyAlignment="1">
      <alignment horizontal="left" vertical="center" wrapText="1"/>
    </xf>
    <xf numFmtId="4" fontId="4" fillId="13" borderId="19" xfId="0" applyNumberFormat="1" applyFont="1" applyFill="1" applyBorder="1" applyAlignment="1">
      <alignment horizontal="left" vertical="center" wrapText="1"/>
    </xf>
    <xf numFmtId="4" fontId="4" fillId="11" borderId="73" xfId="0" applyNumberFormat="1" applyFont="1" applyFill="1" applyBorder="1" applyAlignment="1">
      <alignment horizontal="left" vertical="center" wrapText="1"/>
    </xf>
    <xf numFmtId="4" fontId="4" fillId="11" borderId="47" xfId="0" applyNumberFormat="1" applyFont="1" applyFill="1" applyBorder="1" applyAlignment="1">
      <alignment horizontal="left" vertical="center" wrapText="1"/>
    </xf>
    <xf numFmtId="4" fontId="4" fillId="13" borderId="48" xfId="0" applyNumberFormat="1" applyFont="1" applyFill="1" applyBorder="1" applyAlignment="1">
      <alignment horizontal="left" vertical="center" wrapText="1"/>
    </xf>
    <xf numFmtId="4" fontId="4" fillId="13" borderId="30" xfId="0" applyNumberFormat="1" applyFont="1" applyFill="1" applyBorder="1" applyAlignment="1">
      <alignment horizontal="left" vertical="center" wrapText="1"/>
    </xf>
    <xf numFmtId="4" fontId="4" fillId="11" borderId="8" xfId="0" applyNumberFormat="1" applyFont="1" applyFill="1" applyBorder="1" applyAlignment="1">
      <alignment horizontal="left" vertical="center" wrapText="1"/>
    </xf>
    <xf numFmtId="4" fontId="4" fillId="11" borderId="65" xfId="0" applyNumberFormat="1" applyFont="1" applyFill="1" applyBorder="1" applyAlignment="1">
      <alignment horizontal="left" vertical="center" wrapText="1"/>
    </xf>
    <xf numFmtId="4" fontId="4" fillId="11" borderId="36" xfId="0" applyNumberFormat="1" applyFont="1" applyFill="1" applyBorder="1" applyAlignment="1">
      <alignment horizontal="left" vertical="center" wrapText="1"/>
    </xf>
    <xf numFmtId="4" fontId="4" fillId="11" borderId="9" xfId="0" applyNumberFormat="1" applyFont="1" applyFill="1" applyBorder="1" applyAlignment="1">
      <alignment horizontal="left" vertical="center" wrapText="1"/>
    </xf>
    <xf numFmtId="0" fontId="5" fillId="0" borderId="64" xfId="0" applyFont="1" applyBorder="1" applyAlignment="1">
      <alignment horizontal="center"/>
    </xf>
    <xf numFmtId="0" fontId="5" fillId="0" borderId="23" xfId="0" applyFont="1" applyBorder="1" applyAlignment="1">
      <alignment horizontal="center"/>
    </xf>
    <xf numFmtId="0" fontId="4" fillId="0" borderId="8" xfId="0" applyFont="1" applyBorder="1" applyAlignment="1">
      <alignment horizontal="center" wrapText="1"/>
    </xf>
    <xf numFmtId="0" fontId="4" fillId="0" borderId="6" xfId="0" applyFont="1" applyBorder="1" applyAlignment="1">
      <alignment horizontal="center" wrapText="1"/>
    </xf>
    <xf numFmtId="0" fontId="4" fillId="0" borderId="31" xfId="0" applyFont="1" applyBorder="1" applyAlignment="1">
      <alignment horizontal="center" vertical="center"/>
    </xf>
    <xf numFmtId="0" fontId="4" fillId="0" borderId="37" xfId="0" applyFont="1" applyBorder="1" applyAlignment="1">
      <alignment horizontal="center" vertical="center"/>
    </xf>
    <xf numFmtId="0" fontId="4" fillId="0" borderId="33" xfId="0" applyFont="1" applyBorder="1" applyAlignment="1">
      <alignment horizontal="center" vertical="center"/>
    </xf>
    <xf numFmtId="0" fontId="4" fillId="0" borderId="18" xfId="0" applyFont="1" applyBorder="1" applyAlignment="1">
      <alignment horizontal="center" vertical="center"/>
    </xf>
    <xf numFmtId="1" fontId="34" fillId="0" borderId="4" xfId="0" applyNumberFormat="1" applyFont="1" applyBorder="1" applyAlignment="1">
      <alignment horizontal="center" vertical="center"/>
    </xf>
    <xf numFmtId="1" fontId="34" fillId="0" borderId="13" xfId="0" applyNumberFormat="1" applyFont="1" applyBorder="1" applyAlignment="1">
      <alignment horizontal="center" vertical="center"/>
    </xf>
    <xf numFmtId="1" fontId="34" fillId="0" borderId="10" xfId="0" applyNumberFormat="1" applyFont="1" applyBorder="1" applyAlignment="1">
      <alignment horizontal="center" vertical="center"/>
    </xf>
    <xf numFmtId="3" fontId="34" fillId="0" borderId="38" xfId="0" applyNumberFormat="1" applyFont="1" applyBorder="1" applyAlignment="1">
      <alignment horizontal="center" vertical="center" wrapText="1"/>
    </xf>
    <xf numFmtId="3" fontId="34" fillId="0" borderId="43" xfId="0" applyNumberFormat="1" applyFont="1" applyBorder="1" applyAlignment="1">
      <alignment horizontal="center" vertical="center" wrapText="1"/>
    </xf>
    <xf numFmtId="3" fontId="34" fillId="0" borderId="39" xfId="0" applyNumberFormat="1" applyFont="1" applyBorder="1" applyAlignment="1">
      <alignment horizontal="center" vertical="center" wrapText="1"/>
    </xf>
    <xf numFmtId="0" fontId="34" fillId="0" borderId="38" xfId="0" applyFont="1" applyBorder="1" applyAlignment="1">
      <alignment horizontal="center" vertical="center"/>
    </xf>
    <xf numFmtId="0" fontId="2" fillId="0" borderId="43" xfId="0" applyFont="1" applyBorder="1" applyAlignment="1">
      <alignment horizontal="center" vertical="center"/>
    </xf>
    <xf numFmtId="0" fontId="2" fillId="0" borderId="74" xfId="0" applyFont="1" applyBorder="1" applyAlignment="1">
      <alignment horizontal="center" vertical="center"/>
    </xf>
    <xf numFmtId="0" fontId="34" fillId="0" borderId="1" xfId="0" applyFont="1" applyBorder="1" applyAlignment="1">
      <alignment vertical="center" wrapText="1"/>
    </xf>
    <xf numFmtId="0" fontId="34" fillId="0" borderId="31" xfId="0" applyFont="1" applyBorder="1" applyAlignment="1">
      <alignment vertical="center" wrapText="1"/>
    </xf>
    <xf numFmtId="0" fontId="34" fillId="0" borderId="45" xfId="0" applyFont="1" applyBorder="1" applyAlignment="1">
      <alignment vertical="center" wrapText="1"/>
    </xf>
    <xf numFmtId="0" fontId="34" fillId="0" borderId="1" xfId="0" applyFont="1" applyBorder="1" applyAlignment="1">
      <alignment horizontal="left"/>
    </xf>
    <xf numFmtId="0" fontId="34" fillId="0" borderId="31" xfId="0" applyFont="1" applyBorder="1" applyAlignment="1">
      <alignment horizontal="left"/>
    </xf>
    <xf numFmtId="0" fontId="34" fillId="0" borderId="45" xfId="0" applyFont="1" applyBorder="1" applyAlignment="1">
      <alignment horizontal="left"/>
    </xf>
    <xf numFmtId="0" fontId="34" fillId="0" borderId="1" xfId="0" applyFont="1" applyBorder="1" applyAlignment="1">
      <alignment horizontal="left" vertical="center" wrapText="1"/>
    </xf>
    <xf numFmtId="0" fontId="34" fillId="0" borderId="31" xfId="0" applyFont="1" applyBorder="1" applyAlignment="1">
      <alignment horizontal="left" vertical="center" wrapText="1"/>
    </xf>
    <xf numFmtId="0" fontId="34" fillId="0" borderId="45" xfId="0" applyFont="1" applyBorder="1" applyAlignment="1">
      <alignment horizontal="left" vertical="center" wrapText="1"/>
    </xf>
    <xf numFmtId="3" fontId="34" fillId="0" borderId="2" xfId="0" applyNumberFormat="1" applyFont="1" applyBorder="1" applyAlignment="1">
      <alignment horizontal="left" vertical="center"/>
    </xf>
    <xf numFmtId="3" fontId="34" fillId="0" borderId="37" xfId="0" applyNumberFormat="1" applyFont="1" applyBorder="1" applyAlignment="1">
      <alignment horizontal="left" vertical="center"/>
    </xf>
    <xf numFmtId="3" fontId="34" fillId="0" borderId="17" xfId="0" applyNumberFormat="1" applyFont="1" applyBorder="1" applyAlignment="1">
      <alignment horizontal="left" vertical="center"/>
    </xf>
    <xf numFmtId="3" fontId="34" fillId="0" borderId="43" xfId="0" applyNumberFormat="1" applyFont="1" applyBorder="1" applyAlignment="1">
      <alignment horizontal="center" vertical="center"/>
    </xf>
    <xf numFmtId="3" fontId="34" fillId="0" borderId="39" xfId="0" applyNumberFormat="1" applyFont="1" applyBorder="1" applyAlignment="1">
      <alignment horizontal="center" vertical="center"/>
    </xf>
    <xf numFmtId="3" fontId="34" fillId="0" borderId="38" xfId="0" applyNumberFormat="1" applyFont="1" applyBorder="1" applyAlignment="1">
      <alignment horizontal="center" vertical="center"/>
    </xf>
    <xf numFmtId="3" fontId="50" fillId="0" borderId="38" xfId="0" applyNumberFormat="1" applyFont="1" applyBorder="1" applyAlignment="1">
      <alignment horizontal="center" vertical="center" wrapText="1"/>
    </xf>
    <xf numFmtId="3" fontId="50" fillId="0" borderId="2" xfId="0" applyNumberFormat="1" applyFont="1" applyBorder="1" applyAlignment="1">
      <alignment horizontal="center" vertical="center" wrapText="1"/>
    </xf>
    <xf numFmtId="0" fontId="34" fillId="0" borderId="50" xfId="0" applyFont="1" applyBorder="1" applyAlignment="1">
      <alignment horizontal="left"/>
    </xf>
    <xf numFmtId="0" fontId="34" fillId="0" borderId="28" xfId="0" applyFont="1" applyBorder="1" applyAlignment="1">
      <alignment horizontal="left"/>
    </xf>
    <xf numFmtId="0" fontId="34" fillId="0" borderId="51" xfId="0" applyFont="1" applyBorder="1" applyAlignment="1">
      <alignment horizontal="left"/>
    </xf>
    <xf numFmtId="3" fontId="50" fillId="0" borderId="38" xfId="0" applyNumberFormat="1" applyFont="1" applyBorder="1" applyAlignment="1">
      <alignment horizontal="center" vertical="center"/>
    </xf>
    <xf numFmtId="3" fontId="50" fillId="0" borderId="43" xfId="0" applyNumberFormat="1" applyFont="1" applyBorder="1" applyAlignment="1">
      <alignment horizontal="center" vertical="center"/>
    </xf>
    <xf numFmtId="3" fontId="50" fillId="0" borderId="74" xfId="0" applyNumberFormat="1" applyFont="1" applyBorder="1" applyAlignment="1">
      <alignment horizontal="center" vertical="center"/>
    </xf>
    <xf numFmtId="3" fontId="50" fillId="0" borderId="2" xfId="0" applyNumberFormat="1" applyFont="1" applyBorder="1" applyAlignment="1">
      <alignment horizontal="center" vertical="center"/>
    </xf>
    <xf numFmtId="3" fontId="50" fillId="0" borderId="37" xfId="0" applyNumberFormat="1" applyFont="1" applyBorder="1" applyAlignment="1">
      <alignment horizontal="center" vertical="center"/>
    </xf>
    <xf numFmtId="3" fontId="50" fillId="0" borderId="17" xfId="0" applyNumberFormat="1" applyFont="1" applyBorder="1" applyAlignment="1">
      <alignment horizontal="center" vertical="center"/>
    </xf>
    <xf numFmtId="0" fontId="34" fillId="0" borderId="48" xfId="0" applyFont="1" applyBorder="1" applyAlignment="1">
      <alignment horizontal="left" vertical="center" wrapText="1"/>
    </xf>
    <xf numFmtId="0" fontId="34" fillId="0" borderId="62" xfId="0" applyFont="1" applyBorder="1" applyAlignment="1">
      <alignment horizontal="left" vertical="center" wrapText="1"/>
    </xf>
    <xf numFmtId="0" fontId="34" fillId="0" borderId="58" xfId="0" applyFont="1" applyBorder="1" applyAlignment="1">
      <alignment horizontal="left" vertical="center" wrapText="1"/>
    </xf>
    <xf numFmtId="0" fontId="49" fillId="0" borderId="36" xfId="0" applyFont="1" applyBorder="1" applyAlignment="1">
      <alignment horizontal="center" vertical="center"/>
    </xf>
    <xf numFmtId="0" fontId="49" fillId="0" borderId="44" xfId="0" applyFont="1" applyBorder="1" applyAlignment="1">
      <alignment horizontal="center" vertical="center"/>
    </xf>
    <xf numFmtId="0" fontId="49" fillId="0" borderId="9" xfId="0" applyFont="1" applyBorder="1" applyAlignment="1">
      <alignment horizontal="center" vertical="center"/>
    </xf>
    <xf numFmtId="0" fontId="2" fillId="0" borderId="31" xfId="0" applyFont="1" applyBorder="1" applyAlignment="1">
      <alignment horizontal="center" wrapText="1"/>
    </xf>
    <xf numFmtId="0" fontId="0" fillId="0" borderId="31" xfId="0" applyBorder="1" applyAlignment="1">
      <alignment horizontal="center" wrapText="1"/>
    </xf>
    <xf numFmtId="0" fontId="2" fillId="0" borderId="66" xfId="0" applyFont="1" applyBorder="1" applyAlignment="1">
      <alignment horizontal="center" vertical="center"/>
    </xf>
    <xf numFmtId="0" fontId="0" fillId="0" borderId="67" xfId="0" applyBorder="1" applyAlignment="1">
      <alignment horizontal="center" vertical="center"/>
    </xf>
    <xf numFmtId="0" fontId="0" fillId="0" borderId="55" xfId="0" applyBorder="1" applyAlignment="1">
      <alignment horizontal="center" vertical="center"/>
    </xf>
    <xf numFmtId="0" fontId="0" fillId="0" borderId="51" xfId="0" applyBorder="1" applyAlignment="1">
      <alignment horizontal="center" vertical="center"/>
    </xf>
    <xf numFmtId="0" fontId="0" fillId="0" borderId="61" xfId="0" applyBorder="1" applyAlignment="1">
      <alignment horizontal="center" vertical="center"/>
    </xf>
    <xf numFmtId="0" fontId="0" fillId="0" borderId="27" xfId="0" applyBorder="1" applyAlignment="1">
      <alignment horizontal="center" vertical="center"/>
    </xf>
    <xf numFmtId="0" fontId="2" fillId="0" borderId="31" xfId="0" applyFont="1" applyBorder="1" applyAlignment="1">
      <alignment horizontal="center" vertical="center"/>
    </xf>
    <xf numFmtId="1" fontId="2" fillId="0" borderId="31" xfId="0" applyNumberFormat="1" applyFont="1" applyBorder="1" applyAlignment="1">
      <alignment horizontal="center" vertical="center" wrapText="1"/>
    </xf>
    <xf numFmtId="3" fontId="2" fillId="0" borderId="31" xfId="0" applyNumberFormat="1" applyFont="1" applyBorder="1" applyAlignment="1">
      <alignment horizontal="center" vertical="center" wrapText="1"/>
    </xf>
    <xf numFmtId="0" fontId="49" fillId="0" borderId="36" xfId="0" applyFont="1" applyBorder="1" applyAlignment="1">
      <alignment horizontal="center"/>
    </xf>
    <xf numFmtId="0" fontId="49" fillId="0" borderId="44" xfId="0" applyFont="1" applyBorder="1" applyAlignment="1">
      <alignment horizontal="center"/>
    </xf>
    <xf numFmtId="0" fontId="49" fillId="0" borderId="9" xfId="0" applyFont="1" applyBorder="1" applyAlignment="1">
      <alignment horizontal="center"/>
    </xf>
    <xf numFmtId="1" fontId="34" fillId="0" borderId="76" xfId="0" applyNumberFormat="1" applyFont="1" applyBorder="1" applyAlignment="1">
      <alignment horizontal="center" vertical="center"/>
    </xf>
    <xf numFmtId="1" fontId="34" fillId="0" borderId="60" xfId="0" applyNumberFormat="1" applyFont="1" applyBorder="1" applyAlignment="1">
      <alignment horizontal="center" vertical="center"/>
    </xf>
    <xf numFmtId="1" fontId="34" fillId="0" borderId="56" xfId="0" applyNumberFormat="1" applyFont="1" applyBorder="1" applyAlignment="1">
      <alignment horizontal="center" vertical="center"/>
    </xf>
    <xf numFmtId="1" fontId="34" fillId="0" borderId="77" xfId="0" applyNumberFormat="1" applyFont="1" applyBorder="1" applyAlignment="1">
      <alignment horizontal="center" vertical="center"/>
    </xf>
    <xf numFmtId="1" fontId="34" fillId="0" borderId="62" xfId="0" applyNumberFormat="1" applyFont="1" applyBorder="1" applyAlignment="1">
      <alignment horizontal="center" vertical="center"/>
    </xf>
    <xf numFmtId="1" fontId="34" fillId="0" borderId="58" xfId="0" applyNumberFormat="1" applyFont="1" applyBorder="1" applyAlignment="1">
      <alignment horizontal="center" vertical="center"/>
    </xf>
    <xf numFmtId="0" fontId="2" fillId="0" borderId="31" xfId="0" applyFont="1" applyBorder="1" applyAlignment="1">
      <alignment horizontal="center" vertical="center" wrapText="1"/>
    </xf>
    <xf numFmtId="3" fontId="34" fillId="0" borderId="1" xfId="0" applyNumberFormat="1" applyFont="1" applyBorder="1" applyAlignment="1">
      <alignment horizontal="center" vertical="center"/>
    </xf>
    <xf numFmtId="3" fontId="34" fillId="0" borderId="31" xfId="0" applyNumberFormat="1" applyFont="1" applyBorder="1" applyAlignment="1">
      <alignment horizontal="center" vertical="center"/>
    </xf>
    <xf numFmtId="3" fontId="34" fillId="0" borderId="33" xfId="0" applyNumberFormat="1" applyFont="1" applyBorder="1" applyAlignment="1">
      <alignment horizontal="center" vertical="center"/>
    </xf>
    <xf numFmtId="3" fontId="34" fillId="0" borderId="30" xfId="0" applyNumberFormat="1" applyFont="1" applyBorder="1" applyAlignment="1">
      <alignment horizontal="center" vertical="center"/>
    </xf>
    <xf numFmtId="3" fontId="34" fillId="0" borderId="45" xfId="0" applyNumberFormat="1" applyFont="1" applyBorder="1" applyAlignment="1">
      <alignment horizontal="center" vertical="center"/>
    </xf>
    <xf numFmtId="0" fontId="34" fillId="0" borderId="35" xfId="0" applyFont="1" applyBorder="1" applyAlignment="1">
      <alignment vertical="center"/>
    </xf>
    <xf numFmtId="0" fontId="34" fillId="0" borderId="61" xfId="0" applyFont="1" applyBorder="1" applyAlignment="1">
      <alignment vertical="center"/>
    </xf>
    <xf numFmtId="0" fontId="34" fillId="0" borderId="57" xfId="0" applyFont="1" applyBorder="1" applyAlignment="1">
      <alignment vertical="center"/>
    </xf>
    <xf numFmtId="0" fontId="34" fillId="0" borderId="48" xfId="0" applyFont="1" applyBorder="1" applyAlignment="1">
      <alignment horizontal="left" vertical="center"/>
    </xf>
    <xf numFmtId="0" fontId="34" fillId="0" borderId="62" xfId="0" applyFont="1" applyBorder="1" applyAlignment="1">
      <alignment horizontal="left" vertical="center"/>
    </xf>
    <xf numFmtId="0" fontId="34" fillId="0" borderId="58" xfId="0" applyFont="1" applyBorder="1" applyAlignment="1">
      <alignment horizontal="left" vertical="center"/>
    </xf>
    <xf numFmtId="0" fontId="34" fillId="0" borderId="38" xfId="0" applyFont="1" applyBorder="1" applyAlignment="1">
      <alignment horizontal="left" vertical="center" wrapText="1"/>
    </xf>
    <xf numFmtId="0" fontId="34" fillId="0" borderId="43" xfId="0" applyFont="1" applyBorder="1" applyAlignment="1">
      <alignment horizontal="left" vertical="center" wrapText="1"/>
    </xf>
    <xf numFmtId="0" fontId="34" fillId="0" borderId="39" xfId="0" applyFont="1" applyBorder="1" applyAlignment="1">
      <alignment horizontal="left" vertical="center" wrapText="1"/>
    </xf>
    <xf numFmtId="3" fontId="34" fillId="0" borderId="25" xfId="0" applyNumberFormat="1" applyFont="1" applyBorder="1" applyAlignment="1">
      <alignment horizontal="center" vertical="center" wrapText="1"/>
    </xf>
    <xf numFmtId="0" fontId="34" fillId="0" borderId="10" xfId="0" applyFont="1" applyBorder="1" applyAlignment="1">
      <alignment horizontal="center" vertical="center" wrapText="1"/>
    </xf>
    <xf numFmtId="3" fontId="34" fillId="0" borderId="4" xfId="0" applyNumberFormat="1" applyFont="1" applyBorder="1" applyAlignment="1">
      <alignment horizontal="center" vertical="center" wrapText="1"/>
    </xf>
    <xf numFmtId="3" fontId="34" fillId="0" borderId="6" xfId="0" applyNumberFormat="1" applyFont="1" applyBorder="1" applyAlignment="1">
      <alignment horizontal="center" vertical="center" wrapText="1"/>
    </xf>
    <xf numFmtId="0" fontId="34" fillId="0" borderId="5" xfId="0" applyFont="1" applyBorder="1" applyAlignment="1">
      <alignment horizontal="center" vertical="center" wrapText="1"/>
    </xf>
    <xf numFmtId="0" fontId="34" fillId="0" borderId="3" xfId="0" applyFont="1" applyBorder="1" applyAlignment="1">
      <alignment horizontal="center" vertical="center" wrapText="1"/>
    </xf>
    <xf numFmtId="3" fontId="50" fillId="0" borderId="4" xfId="0" applyNumberFormat="1" applyFont="1" applyBorder="1" applyAlignment="1">
      <alignment horizontal="center" vertical="center"/>
    </xf>
    <xf numFmtId="3" fontId="50" fillId="0" borderId="13" xfId="0" applyNumberFormat="1" applyFont="1" applyBorder="1" applyAlignment="1">
      <alignment horizontal="center" vertical="center"/>
    </xf>
    <xf numFmtId="3" fontId="50" fillId="0" borderId="6" xfId="0" applyNumberFormat="1" applyFont="1" applyBorder="1" applyAlignment="1">
      <alignment horizontal="center" vertical="center"/>
    </xf>
    <xf numFmtId="3" fontId="50" fillId="0" borderId="14" xfId="0" applyNumberFormat="1" applyFont="1" applyBorder="1" applyAlignment="1">
      <alignment horizontal="center" vertical="center"/>
    </xf>
    <xf numFmtId="3" fontId="34" fillId="0" borderId="63" xfId="0" applyNumberFormat="1" applyFont="1" applyBorder="1" applyAlignment="1">
      <alignment horizontal="center" vertical="center"/>
    </xf>
    <xf numFmtId="3" fontId="34" fillId="0" borderId="60" xfId="0" applyNumberFormat="1" applyFont="1" applyBorder="1" applyAlignment="1">
      <alignment horizontal="center" vertical="center"/>
    </xf>
    <xf numFmtId="3" fontId="34" fillId="0" borderId="13" xfId="0" applyNumberFormat="1" applyFont="1" applyBorder="1" applyAlignment="1">
      <alignment horizontal="center" vertical="center"/>
    </xf>
    <xf numFmtId="3" fontId="34" fillId="0" borderId="10" xfId="0" applyNumberFormat="1" applyFont="1" applyBorder="1" applyAlignment="1">
      <alignment horizontal="center" vertical="center"/>
    </xf>
    <xf numFmtId="0" fontId="34" fillId="0" borderId="4" xfId="0" applyFont="1" applyBorder="1" applyAlignment="1">
      <alignment horizontal="center" vertical="center"/>
    </xf>
    <xf numFmtId="0" fontId="34" fillId="0" borderId="13" xfId="0" applyFont="1" applyBorder="1" applyAlignment="1">
      <alignment horizontal="center" vertical="center"/>
    </xf>
    <xf numFmtId="0" fontId="34" fillId="0" borderId="8" xfId="0" applyFont="1" applyBorder="1" applyAlignment="1">
      <alignment horizontal="center" vertical="center"/>
    </xf>
    <xf numFmtId="0" fontId="34" fillId="0" borderId="0" xfId="0" applyFont="1" applyBorder="1" applyAlignment="1">
      <alignment horizontal="center" vertical="center"/>
    </xf>
    <xf numFmtId="0" fontId="34" fillId="0" borderId="6" xfId="0" applyFont="1" applyBorder="1" applyAlignment="1">
      <alignment horizontal="center" vertical="center"/>
    </xf>
    <xf numFmtId="0" fontId="34" fillId="0" borderId="14" xfId="0" applyFont="1" applyBorder="1" applyAlignment="1">
      <alignment horizontal="center" vertical="center"/>
    </xf>
    <xf numFmtId="3" fontId="34" fillId="0" borderId="1" xfId="0" applyNumberFormat="1" applyFont="1" applyBorder="1" applyAlignment="1">
      <alignment horizontal="left" vertical="center"/>
    </xf>
    <xf numFmtId="3" fontId="34" fillId="0" borderId="31" xfId="0" applyNumberFormat="1" applyFont="1" applyBorder="1" applyAlignment="1">
      <alignment horizontal="left" vertical="center"/>
    </xf>
    <xf numFmtId="3" fontId="34" fillId="0" borderId="45" xfId="0" applyNumberFormat="1" applyFont="1" applyBorder="1" applyAlignment="1">
      <alignment horizontal="left" vertical="center"/>
    </xf>
    <xf numFmtId="1" fontId="50" fillId="0" borderId="5" xfId="0" applyNumberFormat="1" applyFont="1" applyBorder="1" applyAlignment="1">
      <alignment horizontal="center" vertical="center" wrapText="1"/>
    </xf>
    <xf numFmtId="1" fontId="50" fillId="0" borderId="3" xfId="0" applyNumberFormat="1" applyFont="1" applyBorder="1" applyAlignment="1">
      <alignment horizontal="center" vertical="center" wrapText="1"/>
    </xf>
    <xf numFmtId="0" fontId="50" fillId="0" borderId="4" xfId="0" applyFont="1" applyBorder="1" applyAlignment="1">
      <alignment horizontal="center" vertical="center"/>
    </xf>
    <xf numFmtId="0" fontId="50" fillId="0" borderId="13" xfId="0" applyFont="1" applyBorder="1" applyAlignment="1">
      <alignment horizontal="center" vertical="center"/>
    </xf>
    <xf numFmtId="0" fontId="50" fillId="0" borderId="6" xfId="0" applyFont="1" applyBorder="1" applyAlignment="1">
      <alignment horizontal="center" vertical="center"/>
    </xf>
    <xf numFmtId="0" fontId="50" fillId="0" borderId="14" xfId="0" applyFont="1" applyBorder="1" applyAlignment="1">
      <alignment horizontal="center" vertical="center"/>
    </xf>
    <xf numFmtId="0" fontId="34" fillId="0" borderId="63" xfId="0" applyFont="1" applyBorder="1" applyAlignment="1">
      <alignment horizontal="left" vertical="center"/>
    </xf>
    <xf numFmtId="0" fontId="34" fillId="0" borderId="60" xfId="0" applyFont="1" applyBorder="1" applyAlignment="1">
      <alignment horizontal="left" vertical="center"/>
    </xf>
    <xf numFmtId="0" fontId="34" fillId="0" borderId="56" xfId="0" applyFont="1" applyBorder="1" applyAlignment="1">
      <alignment horizontal="left" vertical="center"/>
    </xf>
    <xf numFmtId="0" fontId="49" fillId="0" borderId="45" xfId="0" applyFont="1" applyBorder="1" applyAlignment="1">
      <alignment horizontal="left"/>
    </xf>
    <xf numFmtId="0" fontId="49" fillId="0" borderId="62" xfId="0" applyFont="1" applyBorder="1" applyAlignment="1">
      <alignment horizontal="left"/>
    </xf>
    <xf numFmtId="0" fontId="49" fillId="0" borderId="30" xfId="0" applyFont="1" applyBorder="1" applyAlignment="1">
      <alignment horizontal="left"/>
    </xf>
    <xf numFmtId="0" fontId="49" fillId="0" borderId="8" xfId="0" applyFont="1" applyBorder="1" applyAlignment="1">
      <alignment horizontal="left" vertical="center"/>
    </xf>
    <xf numFmtId="0" fontId="49" fillId="0" borderId="0" xfId="0" applyFont="1" applyBorder="1" applyAlignment="1">
      <alignment horizontal="left" vertical="center"/>
    </xf>
    <xf numFmtId="0" fontId="49" fillId="0" borderId="4" xfId="0" applyFont="1" applyBorder="1" applyAlignment="1">
      <alignment horizontal="center"/>
    </xf>
    <xf numFmtId="0" fontId="49" fillId="0" borderId="13" xfId="0" applyFont="1" applyBorder="1" applyAlignment="1">
      <alignment horizontal="center"/>
    </xf>
    <xf numFmtId="0" fontId="49" fillId="0" borderId="70" xfId="0" applyFont="1" applyBorder="1" applyAlignment="1">
      <alignment horizontal="center"/>
    </xf>
    <xf numFmtId="3" fontId="34" fillId="0" borderId="0" xfId="0" applyNumberFormat="1" applyFont="1" applyBorder="1" applyAlignment="1">
      <alignment horizontal="center"/>
    </xf>
    <xf numFmtId="0" fontId="34" fillId="0" borderId="0" xfId="0" applyFont="1" applyBorder="1" applyAlignment="1">
      <alignment horizontal="center"/>
    </xf>
    <xf numFmtId="3" fontId="34" fillId="0" borderId="24" xfId="0" applyNumberFormat="1" applyFont="1" applyBorder="1" applyAlignment="1">
      <alignment horizontal="center" vertical="center" wrapText="1"/>
    </xf>
    <xf numFmtId="3" fontId="34" fillId="0" borderId="59" xfId="0" applyNumberFormat="1" applyFont="1" applyBorder="1" applyAlignment="1">
      <alignment horizontal="center" vertical="center" wrapText="1"/>
    </xf>
    <xf numFmtId="3" fontId="34" fillId="0" borderId="18" xfId="0" applyNumberFormat="1" applyFont="1" applyBorder="1" applyAlignment="1">
      <alignment horizontal="center" vertical="center" wrapText="1"/>
    </xf>
    <xf numFmtId="3" fontId="34" fillId="0" borderId="5" xfId="0" applyNumberFormat="1" applyFont="1" applyBorder="1" applyAlignment="1">
      <alignment horizontal="center" vertical="center" wrapText="1"/>
    </xf>
    <xf numFmtId="3" fontId="34" fillId="0" borderId="3" xfId="0" applyNumberFormat="1" applyFont="1" applyBorder="1" applyAlignment="1">
      <alignment horizontal="center" vertical="center" wrapText="1"/>
    </xf>
  </cellXfs>
  <cellStyles count="3">
    <cellStyle name="Milliers" xfId="1" builtinId="3"/>
    <cellStyle name="Normal" xfId="0" builtinId="0"/>
    <cellStyle name="Pourcentage" xfId="2" builtinId="5"/>
  </cellStyles>
  <dxfs count="2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theme="1"/>
      </font>
      <fill>
        <patternFill>
          <bgColor theme="5" tint="0.59996337778862885"/>
        </patternFill>
      </fill>
    </dxf>
    <dxf>
      <font>
        <color theme="1"/>
      </font>
      <fill>
        <patternFill>
          <bgColor theme="6" tint="0.59996337778862885"/>
        </patternFill>
      </fill>
    </dxf>
    <dxf>
      <font>
        <color rgb="FF9C0006"/>
      </font>
      <fill>
        <patternFill>
          <bgColor rgb="FFFFC7CE"/>
        </patternFill>
      </fill>
    </dxf>
    <dxf>
      <font>
        <color theme="1"/>
      </font>
      <fill>
        <patternFill>
          <bgColor theme="5" tint="0.59996337778862885"/>
        </patternFill>
      </fill>
    </dxf>
    <dxf>
      <font>
        <color theme="1"/>
      </font>
      <fill>
        <patternFill>
          <bgColor theme="6" tint="0.59996337778862885"/>
        </patternFill>
      </fill>
    </dxf>
    <dxf>
      <font>
        <color rgb="FF9C0006"/>
      </font>
      <fill>
        <patternFill>
          <bgColor rgb="FFFFC7CE"/>
        </patternFill>
      </fill>
    </dxf>
    <dxf>
      <font>
        <color rgb="FF9C0006"/>
      </font>
    </dxf>
    <dxf>
      <font>
        <color rgb="FF9C0006"/>
      </font>
      <fill>
        <patternFill>
          <bgColor rgb="FFFFC7CE"/>
        </patternFill>
      </fill>
    </dxf>
    <dxf>
      <font>
        <color theme="1"/>
      </font>
      <fill>
        <patternFill>
          <bgColor theme="5" tint="0.59996337778862885"/>
        </patternFill>
      </fill>
    </dxf>
    <dxf>
      <font>
        <color theme="1"/>
      </font>
      <fill>
        <patternFill>
          <bgColor theme="6" tint="0.59996337778862885"/>
        </patternFill>
      </fill>
    </dxf>
    <dxf>
      <font>
        <color theme="1"/>
      </font>
      <fill>
        <patternFill>
          <bgColor theme="5" tint="0.59996337778862885"/>
        </patternFill>
      </fill>
    </dxf>
    <dxf>
      <font>
        <color theme="1"/>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theme="1"/>
      </font>
      <fill>
        <patternFill>
          <bgColor theme="5" tint="0.59996337778862885"/>
        </patternFill>
      </fill>
    </dxf>
    <dxf>
      <font>
        <color theme="1"/>
      </font>
      <fill>
        <patternFill>
          <bgColor theme="6" tint="0.59996337778862885"/>
        </patternFill>
      </fill>
    </dxf>
    <dxf>
      <font>
        <color rgb="FF9C0006"/>
      </font>
      <fill>
        <patternFill>
          <bgColor rgb="FFFFC7CE"/>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389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1"/>
  <c:lang val="fr-FR"/>
  <c:chart>
    <c:title>
      <c:tx>
        <c:rich>
          <a:bodyPr rot="0" spcFirstLastPara="1" vertOverflow="ellipsis" vert="horz" wrap="square" anchor="ctr" anchorCtr="1"/>
          <a:lstStyle/>
          <a:p>
            <a:pPr>
              <a:defRPr lang="de-DE" sz="1400" b="1" i="0" u="none" strike="noStrike" kern="1200" spc="0" baseline="0">
                <a:solidFill>
                  <a:schemeClr val="tx1">
                    <a:lumMod val="65000"/>
                    <a:lumOff val="35000"/>
                  </a:schemeClr>
                </a:solidFill>
                <a:latin typeface="+mn-lt"/>
                <a:ea typeface="+mn-ea"/>
                <a:cs typeface="+mn-cs"/>
              </a:defRPr>
            </a:pPr>
            <a:r>
              <a:rPr lang="fr-FR" b="1"/>
              <a:t>période</a:t>
            </a:r>
            <a:r>
              <a:rPr lang="fr-FR" b="1" baseline="0"/>
              <a:t> d'exploitation </a:t>
            </a:r>
            <a:r>
              <a:rPr lang="fr-FR" b="1" baseline="0">
                <a:solidFill>
                  <a:srgbClr val="FF0000"/>
                </a:solidFill>
              </a:rPr>
              <a:t>de 10 ans </a:t>
            </a:r>
          </a:p>
        </c:rich>
      </c:tx>
      <c:layout>
        <c:manualLayout>
          <c:xMode val="edge"/>
          <c:yMode val="edge"/>
          <c:x val="0.23456824731026563"/>
          <c:y val="8.5693016809234492E-3"/>
        </c:manualLayout>
      </c:layout>
      <c:spPr>
        <a:noFill/>
        <a:ln>
          <a:noFill/>
        </a:ln>
        <a:effectLst/>
      </c:spPr>
    </c:title>
    <c:plotArea>
      <c:layout>
        <c:manualLayout>
          <c:layoutTarget val="inner"/>
          <c:xMode val="edge"/>
          <c:yMode val="edge"/>
          <c:x val="0.1192761756420493"/>
          <c:y val="7.3843829664900495E-2"/>
          <c:w val="0.87771794937556857"/>
          <c:h val="0.82905161761990098"/>
        </c:manualLayout>
      </c:layout>
      <c:lineChart>
        <c:grouping val="standard"/>
        <c:ser>
          <c:idx val="0"/>
          <c:order val="0"/>
          <c:tx>
            <c:strRef>
              <c:f>'4-RESULTATS AVEC TVA'!$F$8</c:f>
              <c:strCache>
                <c:ptCount val="1"/>
                <c:pt idx="0">
                  <c:v>Encaissement</c:v>
                </c:pt>
              </c:strCache>
            </c:strRef>
          </c:tx>
          <c:spPr>
            <a:ln w="28575" cap="rnd">
              <a:solidFill>
                <a:schemeClr val="accent1"/>
              </a:solidFill>
              <a:round/>
            </a:ln>
            <a:effectLst/>
          </c:spPr>
          <c:marker>
            <c:symbol val="none"/>
          </c:marker>
          <c:cat>
            <c:numRef>
              <c:f>'4-RESULTATS AVEC TVA'!$E$9:$E$20</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'4-RESULTATS AVEC TVA'!$F$9:$F$20</c:f>
              <c:numCache>
                <c:formatCode>#,##0</c:formatCode>
                <c:ptCount val="12"/>
                <c:pt idx="0">
                  <c:v>61115.364885359952</c:v>
                </c:pt>
                <c:pt idx="1">
                  <c:v>166353.13216018755</c:v>
                </c:pt>
                <c:pt idx="2">
                  <c:v>28195.381478303825</c:v>
                </c:pt>
                <c:pt idx="3">
                  <c:v>23005.641816461459</c:v>
                </c:pt>
                <c:pt idx="4">
                  <c:v>65498.699348198948</c:v>
                </c:pt>
                <c:pt idx="5">
                  <c:v>118502.56184436515</c:v>
                </c:pt>
                <c:pt idx="6">
                  <c:v>184757.34555318148</c:v>
                </c:pt>
                <c:pt idx="7">
                  <c:v>253760.00573528052</c:v>
                </c:pt>
                <c:pt idx="8">
                  <c:v>274504.98981432646</c:v>
                </c:pt>
                <c:pt idx="9">
                  <c:v>296155.77518516633</c:v>
                </c:pt>
                <c:pt idx="10">
                  <c:v>318757.65191239014</c:v>
                </c:pt>
                <c:pt idx="11">
                  <c:v>342358.1745638171</c:v>
                </c:pt>
              </c:numCache>
            </c:numRef>
          </c:val>
          <c:extLst xmlns:c16r2="http://schemas.microsoft.com/office/drawing/2015/06/chart">
            <c:ext xmlns:c16="http://schemas.microsoft.com/office/drawing/2014/chart" uri="{C3380CC4-5D6E-409C-BE32-E72D297353CC}">
              <c16:uniqueId val="{00000000-E884-074C-AA2F-01474E0BD621}"/>
            </c:ext>
          </c:extLst>
        </c:ser>
        <c:ser>
          <c:idx val="1"/>
          <c:order val="1"/>
          <c:tx>
            <c:strRef>
              <c:f>'4-RESULTATS AVEC TVA'!$G$8</c:f>
              <c:strCache>
                <c:ptCount val="1"/>
                <c:pt idx="0">
                  <c:v>Décaissement</c:v>
                </c:pt>
              </c:strCache>
            </c:strRef>
          </c:tx>
          <c:spPr>
            <a:ln w="28575" cap="rnd">
              <a:solidFill>
                <a:schemeClr val="accent2"/>
              </a:solidFill>
              <a:round/>
            </a:ln>
            <a:effectLst/>
          </c:spPr>
          <c:marker>
            <c:symbol val="none"/>
          </c:marker>
          <c:cat>
            <c:numRef>
              <c:f>'4-RESULTATS AVEC TVA'!$E$9:$E$20</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'4-RESULTATS AVEC TVA'!$G$9:$G$20</c:f>
              <c:numCache>
                <c:formatCode>#,##0</c:formatCode>
                <c:ptCount val="12"/>
                <c:pt idx="0">
                  <c:v>333963.74254295055</c:v>
                </c:pt>
                <c:pt idx="1">
                  <c:v>940057.46329736453</c:v>
                </c:pt>
                <c:pt idx="2">
                  <c:v>272424.81954966765</c:v>
                </c:pt>
                <c:pt idx="3">
                  <c:v>0</c:v>
                </c:pt>
                <c:pt idx="4">
                  <c:v>30928.920507799652</c:v>
                </c:pt>
                <c:pt idx="5">
                  <c:v>30928.920507799652</c:v>
                </c:pt>
                <c:pt idx="6">
                  <c:v>30928.920507799652</c:v>
                </c:pt>
                <c:pt idx="7">
                  <c:v>80082.141258119649</c:v>
                </c:pt>
                <c:pt idx="8">
                  <c:v>30928.920507799652</c:v>
                </c:pt>
                <c:pt idx="9">
                  <c:v>30928.920507799652</c:v>
                </c:pt>
                <c:pt idx="10">
                  <c:v>30928.920507799652</c:v>
                </c:pt>
                <c:pt idx="11">
                  <c:v>30928.920507799652</c:v>
                </c:pt>
              </c:numCache>
            </c:numRef>
          </c:val>
          <c:extLst xmlns:c16r2="http://schemas.microsoft.com/office/drawing/2015/06/chart">
            <c:ext xmlns:c16="http://schemas.microsoft.com/office/drawing/2014/chart" uri="{C3380CC4-5D6E-409C-BE32-E72D297353CC}">
              <c16:uniqueId val="{00000001-E884-074C-AA2F-01474E0BD621}"/>
            </c:ext>
          </c:extLst>
        </c:ser>
        <c:ser>
          <c:idx val="2"/>
          <c:order val="2"/>
          <c:tx>
            <c:strRef>
              <c:f>'4-RESULTATS AVEC TVA'!$H$8</c:f>
              <c:strCache>
                <c:ptCount val="1"/>
                <c:pt idx="0">
                  <c:v>Flux nets de trésorerie </c:v>
                </c:pt>
              </c:strCache>
            </c:strRef>
          </c:tx>
          <c:spPr>
            <a:ln w="28575" cap="rnd">
              <a:solidFill>
                <a:schemeClr val="accent3"/>
              </a:solidFill>
              <a:round/>
            </a:ln>
            <a:effectLst/>
          </c:spPr>
          <c:marker>
            <c:symbol val="none"/>
          </c:marker>
          <c:cat>
            <c:numRef>
              <c:f>'4-RESULTATS AVEC TVA'!$E$9:$E$20</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'4-RESULTATS AVEC TVA'!$H$9:$H$20</c:f>
              <c:numCache>
                <c:formatCode>#,##0</c:formatCode>
                <c:ptCount val="12"/>
                <c:pt idx="0">
                  <c:v>-272848.37765759061</c:v>
                </c:pt>
                <c:pt idx="1">
                  <c:v>-773704.33113717695</c:v>
                </c:pt>
                <c:pt idx="2">
                  <c:v>-244229.43807136384</c:v>
                </c:pt>
                <c:pt idx="3">
                  <c:v>23005.641816461459</c:v>
                </c:pt>
                <c:pt idx="4">
                  <c:v>34569.778840399296</c:v>
                </c:pt>
                <c:pt idx="5">
                  <c:v>87573.641336565488</c:v>
                </c:pt>
                <c:pt idx="6">
                  <c:v>153828.42504538182</c:v>
                </c:pt>
                <c:pt idx="7">
                  <c:v>173677.86447716085</c:v>
                </c:pt>
                <c:pt idx="8">
                  <c:v>243576.0693065268</c:v>
                </c:pt>
                <c:pt idx="9">
                  <c:v>265226.85467736667</c:v>
                </c:pt>
                <c:pt idx="10">
                  <c:v>287828.73140459048</c:v>
                </c:pt>
                <c:pt idx="11">
                  <c:v>311429.25405601744</c:v>
                </c:pt>
              </c:numCache>
            </c:numRef>
          </c:val>
          <c:extLst xmlns:c16r2="http://schemas.microsoft.com/office/drawing/2015/06/chart">
            <c:ext xmlns:c16="http://schemas.microsoft.com/office/drawing/2014/chart" uri="{C3380CC4-5D6E-409C-BE32-E72D297353CC}">
              <c16:uniqueId val="{00000002-E884-074C-AA2F-01474E0BD621}"/>
            </c:ext>
          </c:extLst>
        </c:ser>
        <c:dLbls/>
        <c:marker val="1"/>
        <c:axId val="73173248"/>
        <c:axId val="73182592"/>
      </c:lineChart>
      <c:catAx>
        <c:axId val="73173248"/>
        <c:scaling>
          <c:orientation val="minMax"/>
        </c:scaling>
        <c:axPos val="b"/>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w="19050" cap="flat" cmpd="sng" algn="ctr">
            <a:solidFill>
              <a:schemeClr val="tx1"/>
            </a:solidFill>
            <a:round/>
          </a:ln>
          <a:effectLst/>
        </c:spPr>
        <c:txPr>
          <a:bodyPr rot="-5400000" spcFirstLastPara="1" vertOverflow="ellipsis" wrap="square" anchor="ctr" anchorCtr="1"/>
          <a:lstStyle/>
          <a:p>
            <a:pPr>
              <a:defRPr lang="de-DE" sz="1100" b="0" i="0" u="none" strike="noStrike" kern="1200" baseline="0">
                <a:solidFill>
                  <a:schemeClr val="tx1">
                    <a:lumMod val="65000"/>
                    <a:lumOff val="35000"/>
                  </a:schemeClr>
                </a:solidFill>
                <a:latin typeface="+mn-lt"/>
                <a:ea typeface="+mn-ea"/>
                <a:cs typeface="+mn-cs"/>
              </a:defRPr>
            </a:pPr>
            <a:endParaRPr lang="fr-FR"/>
          </a:p>
        </c:txPr>
        <c:crossAx val="73182592"/>
        <c:crosses val="autoZero"/>
        <c:auto val="1"/>
        <c:lblAlgn val="ctr"/>
        <c:lblOffset val="100"/>
      </c:catAx>
      <c:valAx>
        <c:axId val="73182592"/>
        <c:scaling>
          <c:orientation val="minMax"/>
        </c:scaling>
        <c:axPos val="l"/>
        <c:majorGridlines>
          <c:spPr>
            <a:ln w="9525" cap="flat" cmpd="sng" algn="ctr">
              <a:solidFill>
                <a:schemeClr val="tx1">
                  <a:lumMod val="15000"/>
                  <a:lumOff val="85000"/>
                </a:schemeClr>
              </a:solidFill>
              <a:round/>
            </a:ln>
            <a:effectLst/>
          </c:spPr>
        </c:majorGridlines>
        <c:numFmt formatCode="#,##0" sourceLinked="1"/>
        <c:tickLblPos val="nextTo"/>
        <c:spPr>
          <a:noFill/>
          <a:ln>
            <a:noFill/>
          </a:ln>
          <a:effectLst/>
        </c:spPr>
        <c:txPr>
          <a:bodyPr rot="-60000000" spcFirstLastPara="1" vertOverflow="ellipsis" vert="horz" wrap="square" anchor="ctr" anchorCtr="1"/>
          <a:lstStyle/>
          <a:p>
            <a:pPr>
              <a:defRPr lang="de-DE" sz="1100" b="0" i="0" u="none" strike="noStrike" kern="1200" baseline="0">
                <a:solidFill>
                  <a:schemeClr val="tx1">
                    <a:lumMod val="65000"/>
                    <a:lumOff val="35000"/>
                  </a:schemeClr>
                </a:solidFill>
                <a:latin typeface="+mn-lt"/>
                <a:ea typeface="+mn-ea"/>
                <a:cs typeface="+mn-cs"/>
              </a:defRPr>
            </a:pPr>
            <a:endParaRPr lang="fr-FR"/>
          </a:p>
        </c:txPr>
        <c:crossAx val="73173248"/>
        <c:crosses val="autoZero"/>
        <c:crossBetween val="between"/>
      </c:valAx>
      <c:spPr>
        <a:noFill/>
        <a:ln>
          <a:noFill/>
        </a:ln>
        <a:effectLst/>
      </c:spPr>
    </c:plotArea>
    <c:legend>
      <c:legendPos val="b"/>
      <c:layout/>
      <c:spPr>
        <a:noFill/>
        <a:ln>
          <a:noFill/>
        </a:ln>
        <a:effectLst/>
      </c:spPr>
      <c:txPr>
        <a:bodyPr rot="0" spcFirstLastPara="1" vertOverflow="ellipsis" vert="horz" wrap="square" anchor="ctr" anchorCtr="1"/>
        <a:lstStyle/>
        <a:p>
          <a:pPr>
            <a:defRPr lang="de-DE"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1"/>
  <c:lang val="fr-FR"/>
  <c:chart>
    <c:title>
      <c:tx>
        <c:rich>
          <a:bodyPr rot="0" spcFirstLastPara="1" vertOverflow="ellipsis" vert="horz" wrap="square" anchor="ctr" anchorCtr="1"/>
          <a:lstStyle/>
          <a:p>
            <a:pPr>
              <a:defRPr lang="de-DE" sz="1400" b="1" i="0" u="none" strike="noStrike" kern="1200" spc="0" baseline="0">
                <a:solidFill>
                  <a:schemeClr val="tx1">
                    <a:lumMod val="65000"/>
                    <a:lumOff val="35000"/>
                  </a:schemeClr>
                </a:solidFill>
                <a:latin typeface="+mn-lt"/>
                <a:ea typeface="+mn-ea"/>
                <a:cs typeface="+mn-cs"/>
              </a:defRPr>
            </a:pPr>
            <a:r>
              <a:rPr lang="fr-FR" b="1"/>
              <a:t>période d'exploitation de </a:t>
            </a:r>
            <a:r>
              <a:rPr lang="fr-FR" b="1">
                <a:solidFill>
                  <a:srgbClr val="FF0000"/>
                </a:solidFill>
              </a:rPr>
              <a:t>20 ans </a:t>
            </a:r>
          </a:p>
        </c:rich>
      </c:tx>
      <c:layout>
        <c:manualLayout>
          <c:xMode val="edge"/>
          <c:yMode val="edge"/>
          <c:x val="0.26726486645921016"/>
          <c:y val="1.5964562289841697E-2"/>
        </c:manualLayout>
      </c:layout>
      <c:spPr>
        <a:noFill/>
        <a:ln>
          <a:noFill/>
        </a:ln>
        <a:effectLst/>
      </c:spPr>
    </c:title>
    <c:plotArea>
      <c:layout>
        <c:manualLayout>
          <c:layoutTarget val="inner"/>
          <c:xMode val="edge"/>
          <c:yMode val="edge"/>
          <c:x val="0.15452037616990483"/>
          <c:y val="7.8931320587226919E-2"/>
          <c:w val="0.81404061281091322"/>
          <c:h val="0.82085917906020744"/>
        </c:manualLayout>
      </c:layout>
      <c:lineChart>
        <c:grouping val="standard"/>
        <c:ser>
          <c:idx val="0"/>
          <c:order val="0"/>
          <c:tx>
            <c:strRef>
              <c:f>'4-RESULTATS AVEC TVA'!$I$8</c:f>
              <c:strCache>
                <c:ptCount val="1"/>
                <c:pt idx="0">
                  <c:v>Encaissement</c:v>
                </c:pt>
              </c:strCache>
            </c:strRef>
          </c:tx>
          <c:spPr>
            <a:ln w="28575" cap="rnd">
              <a:solidFill>
                <a:schemeClr val="accent1"/>
              </a:solidFill>
              <a:round/>
            </a:ln>
            <a:effectLst/>
          </c:spPr>
          <c:marker>
            <c:symbol val="none"/>
          </c:marker>
          <c:cat>
            <c:numRef>
              <c:f>'4-RESULTATS AVEC TVA'!$E$9:$E$30</c:f>
              <c:numCache>
                <c:formatCode>General</c:formatCode>
                <c:ptCount val="22"/>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numCache>
            </c:numRef>
          </c:cat>
          <c:val>
            <c:numRef>
              <c:f>'4-RESULTATS AVEC TVA'!$I$9:$I$30</c:f>
              <c:numCache>
                <c:formatCode>#,##0</c:formatCode>
                <c:ptCount val="22"/>
                <c:pt idx="0">
                  <c:v>61115.364885359952</c:v>
                </c:pt>
                <c:pt idx="1">
                  <c:v>166353.13216018755</c:v>
                </c:pt>
                <c:pt idx="2">
                  <c:v>28195.381478303825</c:v>
                </c:pt>
                <c:pt idx="3">
                  <c:v>23005.641816461459</c:v>
                </c:pt>
                <c:pt idx="4">
                  <c:v>65498.699348198948</c:v>
                </c:pt>
                <c:pt idx="5">
                  <c:v>118502.56184436515</c:v>
                </c:pt>
                <c:pt idx="6">
                  <c:v>184757.34555318148</c:v>
                </c:pt>
                <c:pt idx="7">
                  <c:v>253760.00573528052</c:v>
                </c:pt>
                <c:pt idx="8">
                  <c:v>274504.98981432646</c:v>
                </c:pt>
                <c:pt idx="9">
                  <c:v>296155.77518516633</c:v>
                </c:pt>
                <c:pt idx="10">
                  <c:v>318757.65191239014</c:v>
                </c:pt>
                <c:pt idx="11">
                  <c:v>342358.1745638171</c:v>
                </c:pt>
                <c:pt idx="12">
                  <c:v>367007.27543565712</c:v>
                </c:pt>
                <c:pt idx="13">
                  <c:v>392757.38343893108</c:v>
                </c:pt>
                <c:pt idx="14">
                  <c:v>417034.59068704757</c:v>
                </c:pt>
                <c:pt idx="15">
                  <c:v>442525.65829756984</c:v>
                </c:pt>
                <c:pt idx="16">
                  <c:v>469291.27928861836</c:v>
                </c:pt>
                <c:pt idx="17">
                  <c:v>497395.18132921925</c:v>
                </c:pt>
                <c:pt idx="18">
                  <c:v>526904.27847184998</c:v>
                </c:pt>
                <c:pt idx="19">
                  <c:v>557888.83047161251</c:v>
                </c:pt>
                <c:pt idx="20">
                  <c:v>590422.61007136316</c:v>
                </c:pt>
                <c:pt idx="21">
                  <c:v>624583.07865110133</c:v>
                </c:pt>
              </c:numCache>
            </c:numRef>
          </c:val>
          <c:extLst xmlns:c16r2="http://schemas.microsoft.com/office/drawing/2015/06/chart">
            <c:ext xmlns:c16="http://schemas.microsoft.com/office/drawing/2014/chart" uri="{C3380CC4-5D6E-409C-BE32-E72D297353CC}">
              <c16:uniqueId val="{00000000-2BDB-624A-B838-7F10A3E21EF4}"/>
            </c:ext>
          </c:extLst>
        </c:ser>
        <c:ser>
          <c:idx val="1"/>
          <c:order val="1"/>
          <c:tx>
            <c:strRef>
              <c:f>'4-RESULTATS AVEC TVA'!$J$8</c:f>
              <c:strCache>
                <c:ptCount val="1"/>
                <c:pt idx="0">
                  <c:v>Décaissement</c:v>
                </c:pt>
              </c:strCache>
            </c:strRef>
          </c:tx>
          <c:spPr>
            <a:ln w="28575" cap="rnd">
              <a:solidFill>
                <a:schemeClr val="accent2"/>
              </a:solidFill>
              <a:round/>
            </a:ln>
            <a:effectLst/>
          </c:spPr>
          <c:marker>
            <c:symbol val="none"/>
          </c:marker>
          <c:cat>
            <c:numRef>
              <c:f>'4-RESULTATS AVEC TVA'!$E$9:$E$30</c:f>
              <c:numCache>
                <c:formatCode>General</c:formatCode>
                <c:ptCount val="22"/>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numCache>
            </c:numRef>
          </c:cat>
          <c:val>
            <c:numRef>
              <c:f>'4-RESULTATS AVEC TVA'!$J$9:$J$30</c:f>
              <c:numCache>
                <c:formatCode>#,##0</c:formatCode>
                <c:ptCount val="22"/>
                <c:pt idx="0">
                  <c:v>333963.74254295055</c:v>
                </c:pt>
                <c:pt idx="1">
                  <c:v>940057.46329736453</c:v>
                </c:pt>
                <c:pt idx="2">
                  <c:v>272424.81954966765</c:v>
                </c:pt>
                <c:pt idx="3">
                  <c:v>0</c:v>
                </c:pt>
                <c:pt idx="4">
                  <c:v>30928.920507799652</c:v>
                </c:pt>
                <c:pt idx="5">
                  <c:v>30928.920507799652</c:v>
                </c:pt>
                <c:pt idx="6">
                  <c:v>30928.920507799652</c:v>
                </c:pt>
                <c:pt idx="7">
                  <c:v>80082.141258119649</c:v>
                </c:pt>
                <c:pt idx="8">
                  <c:v>30928.920507799652</c:v>
                </c:pt>
                <c:pt idx="9">
                  <c:v>30928.920507799652</c:v>
                </c:pt>
                <c:pt idx="10">
                  <c:v>30928.920507799652</c:v>
                </c:pt>
                <c:pt idx="11">
                  <c:v>30928.920507799652</c:v>
                </c:pt>
                <c:pt idx="12">
                  <c:v>171771.35706306359</c:v>
                </c:pt>
                <c:pt idx="13">
                  <c:v>30928.920507799652</c:v>
                </c:pt>
                <c:pt idx="14">
                  <c:v>0</c:v>
                </c:pt>
                <c:pt idx="15">
                  <c:v>0</c:v>
                </c:pt>
                <c:pt idx="16">
                  <c:v>0</c:v>
                </c:pt>
                <c:pt idx="17">
                  <c:v>66057.818463872405</c:v>
                </c:pt>
                <c:pt idx="18">
                  <c:v>0</c:v>
                </c:pt>
                <c:pt idx="19">
                  <c:v>0</c:v>
                </c:pt>
                <c:pt idx="20">
                  <c:v>0</c:v>
                </c:pt>
                <c:pt idx="21">
                  <c:v>0</c:v>
                </c:pt>
              </c:numCache>
            </c:numRef>
          </c:val>
          <c:extLst xmlns:c16r2="http://schemas.microsoft.com/office/drawing/2015/06/chart">
            <c:ext xmlns:c16="http://schemas.microsoft.com/office/drawing/2014/chart" uri="{C3380CC4-5D6E-409C-BE32-E72D297353CC}">
              <c16:uniqueId val="{00000001-2BDB-624A-B838-7F10A3E21EF4}"/>
            </c:ext>
          </c:extLst>
        </c:ser>
        <c:ser>
          <c:idx val="2"/>
          <c:order val="2"/>
          <c:tx>
            <c:strRef>
              <c:f>'4-RESULTATS AVEC TVA'!$K$8</c:f>
              <c:strCache>
                <c:ptCount val="1"/>
                <c:pt idx="0">
                  <c:v>Flux nets de trésorerie </c:v>
                </c:pt>
              </c:strCache>
            </c:strRef>
          </c:tx>
          <c:spPr>
            <a:ln w="28575" cap="rnd">
              <a:solidFill>
                <a:schemeClr val="accent3"/>
              </a:solidFill>
              <a:round/>
            </a:ln>
            <a:effectLst/>
          </c:spPr>
          <c:marker>
            <c:symbol val="none"/>
          </c:marker>
          <c:cat>
            <c:numRef>
              <c:f>'4-RESULTATS AVEC TVA'!$E$9:$E$30</c:f>
              <c:numCache>
                <c:formatCode>General</c:formatCode>
                <c:ptCount val="22"/>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numCache>
            </c:numRef>
          </c:cat>
          <c:val>
            <c:numRef>
              <c:f>'4-RESULTATS AVEC TVA'!$K$9:$K$30</c:f>
              <c:numCache>
                <c:formatCode>#,##0</c:formatCode>
                <c:ptCount val="22"/>
                <c:pt idx="0">
                  <c:v>-272848.37765759061</c:v>
                </c:pt>
                <c:pt idx="1">
                  <c:v>-773704.33113717695</c:v>
                </c:pt>
                <c:pt idx="2">
                  <c:v>-244229.43807136384</c:v>
                </c:pt>
                <c:pt idx="3">
                  <c:v>23005.641816461459</c:v>
                </c:pt>
                <c:pt idx="4">
                  <c:v>34569.778840399296</c:v>
                </c:pt>
                <c:pt idx="5">
                  <c:v>87573.641336565488</c:v>
                </c:pt>
                <c:pt idx="6">
                  <c:v>153828.42504538182</c:v>
                </c:pt>
                <c:pt idx="7">
                  <c:v>173677.86447716085</c:v>
                </c:pt>
                <c:pt idx="8">
                  <c:v>243576.0693065268</c:v>
                </c:pt>
                <c:pt idx="9">
                  <c:v>265226.85467736667</c:v>
                </c:pt>
                <c:pt idx="10">
                  <c:v>287828.73140459048</c:v>
                </c:pt>
                <c:pt idx="11">
                  <c:v>311429.25405601744</c:v>
                </c:pt>
                <c:pt idx="12">
                  <c:v>195235.91837259353</c:v>
                </c:pt>
                <c:pt idx="13">
                  <c:v>361828.46293113142</c:v>
                </c:pt>
                <c:pt idx="14">
                  <c:v>417034.59068704757</c:v>
                </c:pt>
                <c:pt idx="15">
                  <c:v>442525.65829756984</c:v>
                </c:pt>
                <c:pt idx="16">
                  <c:v>469291.27928861836</c:v>
                </c:pt>
                <c:pt idx="17">
                  <c:v>431337.36286534683</c:v>
                </c:pt>
                <c:pt idx="18">
                  <c:v>526904.27847184998</c:v>
                </c:pt>
                <c:pt idx="19">
                  <c:v>557888.83047161251</c:v>
                </c:pt>
                <c:pt idx="20">
                  <c:v>590422.61007136316</c:v>
                </c:pt>
                <c:pt idx="21">
                  <c:v>624583.07865110133</c:v>
                </c:pt>
              </c:numCache>
            </c:numRef>
          </c:val>
          <c:extLst xmlns:c16r2="http://schemas.microsoft.com/office/drawing/2015/06/chart">
            <c:ext xmlns:c16="http://schemas.microsoft.com/office/drawing/2014/chart" uri="{C3380CC4-5D6E-409C-BE32-E72D297353CC}">
              <c16:uniqueId val="{00000002-2BDB-624A-B838-7F10A3E21EF4}"/>
            </c:ext>
          </c:extLst>
        </c:ser>
        <c:dLbls/>
        <c:marker val="1"/>
        <c:axId val="152702336"/>
        <c:axId val="182921856"/>
      </c:lineChart>
      <c:catAx>
        <c:axId val="152702336"/>
        <c:scaling>
          <c:orientation val="minMax"/>
        </c:scaling>
        <c:axPos val="b"/>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w="19050" cap="flat" cmpd="sng" algn="ctr">
            <a:solidFill>
              <a:schemeClr val="tx1"/>
            </a:solidFill>
            <a:round/>
          </a:ln>
          <a:effectLst/>
        </c:spPr>
        <c:txPr>
          <a:bodyPr rot="-5400000" spcFirstLastPara="1" vertOverflow="ellipsis" wrap="square" anchor="ctr" anchorCtr="1"/>
          <a:lstStyle/>
          <a:p>
            <a:pPr>
              <a:defRPr lang="de-DE" sz="1100" b="0" i="0" u="none" strike="noStrike" kern="1200" baseline="0">
                <a:solidFill>
                  <a:schemeClr val="tx1">
                    <a:lumMod val="65000"/>
                    <a:lumOff val="35000"/>
                  </a:schemeClr>
                </a:solidFill>
                <a:latin typeface="+mn-lt"/>
                <a:ea typeface="+mn-ea"/>
                <a:cs typeface="+mn-cs"/>
              </a:defRPr>
            </a:pPr>
            <a:endParaRPr lang="fr-FR"/>
          </a:p>
        </c:txPr>
        <c:crossAx val="182921856"/>
        <c:crosses val="autoZero"/>
        <c:auto val="1"/>
        <c:lblAlgn val="ctr"/>
        <c:lblOffset val="100"/>
      </c:catAx>
      <c:valAx>
        <c:axId val="182921856"/>
        <c:scaling>
          <c:orientation val="minMax"/>
        </c:scaling>
        <c:axPos val="l"/>
        <c:majorGridlines>
          <c:spPr>
            <a:ln w="9525" cap="flat" cmpd="sng" algn="ctr">
              <a:solidFill>
                <a:schemeClr val="tx1">
                  <a:lumMod val="15000"/>
                  <a:lumOff val="85000"/>
                </a:schemeClr>
              </a:solidFill>
              <a:round/>
            </a:ln>
            <a:effectLst/>
          </c:spPr>
        </c:majorGridlines>
        <c:numFmt formatCode="#,##0" sourceLinked="1"/>
        <c:majorTickMark val="none"/>
        <c:tickLblPos val="nextTo"/>
        <c:spPr>
          <a:noFill/>
          <a:ln>
            <a:noFill/>
          </a:ln>
          <a:effectLst/>
        </c:spPr>
        <c:txPr>
          <a:bodyPr rot="-60000000" spcFirstLastPara="1" vertOverflow="ellipsis" vert="horz" wrap="square" anchor="ctr" anchorCtr="1"/>
          <a:lstStyle/>
          <a:p>
            <a:pPr>
              <a:defRPr lang="de-DE" sz="1100" b="0" i="0" u="none" strike="noStrike" kern="1200" baseline="0">
                <a:solidFill>
                  <a:schemeClr val="tx1">
                    <a:lumMod val="65000"/>
                    <a:lumOff val="35000"/>
                  </a:schemeClr>
                </a:solidFill>
                <a:latin typeface="+mn-lt"/>
                <a:ea typeface="+mn-ea"/>
                <a:cs typeface="+mn-cs"/>
              </a:defRPr>
            </a:pPr>
            <a:endParaRPr lang="fr-FR"/>
          </a:p>
        </c:txPr>
        <c:crossAx val="152702336"/>
        <c:crosses val="autoZero"/>
        <c:crossBetween val="between"/>
      </c:valAx>
      <c:spPr>
        <a:noFill/>
        <a:ln>
          <a:noFill/>
        </a:ln>
        <a:effectLst/>
      </c:spPr>
    </c:plotArea>
    <c:legend>
      <c:legendPos val="b"/>
      <c:layout/>
      <c:spPr>
        <a:noFill/>
        <a:ln>
          <a:noFill/>
        </a:ln>
        <a:effectLst/>
      </c:spPr>
      <c:txPr>
        <a:bodyPr rot="0" spcFirstLastPara="1" vertOverflow="ellipsis" vert="horz" wrap="square" anchor="ctr" anchorCtr="1"/>
        <a:lstStyle/>
        <a:p>
          <a:pPr>
            <a:defRPr lang="de-DE"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1"/>
  <c:lang val="fr-FR"/>
  <c:chart>
    <c:title>
      <c:tx>
        <c:rich>
          <a:bodyPr rot="0" spcFirstLastPara="1" vertOverflow="ellipsis" vert="horz" wrap="square" anchor="ctr" anchorCtr="1"/>
          <a:lstStyle/>
          <a:p>
            <a:pPr>
              <a:defRPr lang="de-DE" sz="1400" b="1" i="0" u="none" strike="noStrike" kern="1200" spc="0" baseline="0">
                <a:solidFill>
                  <a:schemeClr val="tx1">
                    <a:lumMod val="65000"/>
                    <a:lumOff val="35000"/>
                  </a:schemeClr>
                </a:solidFill>
                <a:latin typeface="+mn-lt"/>
                <a:ea typeface="+mn-ea"/>
                <a:cs typeface="+mn-cs"/>
              </a:defRPr>
            </a:pPr>
            <a:r>
              <a:rPr lang="fr-FR" b="1"/>
              <a:t>période d'exploitation de </a:t>
            </a:r>
            <a:r>
              <a:rPr lang="fr-FR" b="1">
                <a:solidFill>
                  <a:srgbClr val="FF0000"/>
                </a:solidFill>
              </a:rPr>
              <a:t>10 ans</a:t>
            </a:r>
          </a:p>
        </c:rich>
      </c:tx>
      <c:layout>
        <c:manualLayout>
          <c:xMode val="edge"/>
          <c:yMode val="edge"/>
          <c:x val="0.16928063619412123"/>
          <c:y val="2.0795325691096628E-2"/>
        </c:manualLayout>
      </c:layout>
      <c:spPr>
        <a:noFill/>
        <a:ln>
          <a:noFill/>
        </a:ln>
        <a:effectLst/>
      </c:spPr>
    </c:title>
    <c:plotArea>
      <c:layout>
        <c:manualLayout>
          <c:layoutTarget val="inner"/>
          <c:xMode val="edge"/>
          <c:yMode val="edge"/>
          <c:x val="0.12490048118985127"/>
          <c:y val="0.10413076910796672"/>
          <c:w val="0.8750995188101488"/>
          <c:h val="0.73904022477769682"/>
        </c:manualLayout>
      </c:layout>
      <c:lineChart>
        <c:grouping val="standard"/>
        <c:ser>
          <c:idx val="0"/>
          <c:order val="0"/>
          <c:tx>
            <c:strRef>
              <c:f>'5-RESULTAT SANS TVA'!$E$7:$E$8</c:f>
              <c:strCache>
                <c:ptCount val="1"/>
                <c:pt idx="0">
                  <c:v>Année</c:v>
                </c:pt>
              </c:strCache>
            </c:strRef>
          </c:tx>
          <c:spPr>
            <a:ln w="28575" cap="rnd">
              <a:solidFill>
                <a:schemeClr val="accent1"/>
              </a:solidFill>
              <a:round/>
            </a:ln>
            <a:effectLst/>
          </c:spPr>
          <c:marker>
            <c:symbol val="none"/>
          </c:marker>
          <c:cat>
            <c:numRef>
              <c:f>'5-RESULTAT SANS TVA'!$E$9:$E$20</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'5-RESULTAT SANS TVA'!$E$9:$E$20</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val>
          <c:extLst xmlns:c16r2="http://schemas.microsoft.com/office/drawing/2015/06/chart">
            <c:ext xmlns:c16="http://schemas.microsoft.com/office/drawing/2014/chart" uri="{C3380CC4-5D6E-409C-BE32-E72D297353CC}">
              <c16:uniqueId val="{00000000-00C9-A84D-AE8E-9D64CF8C78C5}"/>
            </c:ext>
          </c:extLst>
        </c:ser>
        <c:ser>
          <c:idx val="1"/>
          <c:order val="1"/>
          <c:tx>
            <c:strRef>
              <c:f>'5-RESULTAT SANS TVA'!$F$8</c:f>
              <c:strCache>
                <c:ptCount val="1"/>
                <c:pt idx="0">
                  <c:v>Encaissement</c:v>
                </c:pt>
              </c:strCache>
            </c:strRef>
          </c:tx>
          <c:spPr>
            <a:ln w="28575" cap="rnd">
              <a:solidFill>
                <a:schemeClr val="accent2"/>
              </a:solidFill>
              <a:round/>
            </a:ln>
            <a:effectLst/>
          </c:spPr>
          <c:marker>
            <c:symbol val="none"/>
          </c:marker>
          <c:cat>
            <c:numRef>
              <c:f>'5-RESULTAT SANS TVA'!$E$9:$E$20</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'5-RESULTAT SANS TVA'!$E$9:$E$20</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val>
          <c:extLst xmlns:c16r2="http://schemas.microsoft.com/office/drawing/2015/06/chart">
            <c:ext xmlns:c16="http://schemas.microsoft.com/office/drawing/2014/chart" uri="{C3380CC4-5D6E-409C-BE32-E72D297353CC}">
              <c16:uniqueId val="{00000001-00C9-A84D-AE8E-9D64CF8C78C5}"/>
            </c:ext>
          </c:extLst>
        </c:ser>
        <c:ser>
          <c:idx val="2"/>
          <c:order val="2"/>
          <c:tx>
            <c:strRef>
              <c:f>'5-RESULTAT SANS TVA'!$G$8</c:f>
              <c:strCache>
                <c:ptCount val="1"/>
                <c:pt idx="0">
                  <c:v>Décaissement</c:v>
                </c:pt>
              </c:strCache>
            </c:strRef>
          </c:tx>
          <c:spPr>
            <a:ln w="28575" cap="rnd">
              <a:solidFill>
                <a:schemeClr val="accent3"/>
              </a:solidFill>
              <a:round/>
            </a:ln>
            <a:effectLst/>
          </c:spPr>
          <c:marker>
            <c:symbol val="none"/>
          </c:marker>
          <c:cat>
            <c:numRef>
              <c:f>'5-RESULTAT SANS TVA'!$E$9:$E$20</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'5-RESULTAT SANS TVA'!$G$9:$G$20</c:f>
              <c:numCache>
                <c:formatCode>#,##0</c:formatCode>
                <c:ptCount val="12"/>
                <c:pt idx="0">
                  <c:v>317907.20583930332</c:v>
                </c:pt>
                <c:pt idx="1">
                  <c:v>791376.2650235797</c:v>
                </c:pt>
                <c:pt idx="2">
                  <c:v>229176.22757128548</c:v>
                </c:pt>
                <c:pt idx="3">
                  <c:v>0</c:v>
                </c:pt>
                <c:pt idx="4">
                  <c:v>30928.920507799652</c:v>
                </c:pt>
                <c:pt idx="5">
                  <c:v>30928.920507799652</c:v>
                </c:pt>
                <c:pt idx="6">
                  <c:v>30928.920507799652</c:v>
                </c:pt>
                <c:pt idx="7">
                  <c:v>72234.148029076954</c:v>
                </c:pt>
                <c:pt idx="8">
                  <c:v>30928.920507799652</c:v>
                </c:pt>
                <c:pt idx="9">
                  <c:v>30928.920507799652</c:v>
                </c:pt>
                <c:pt idx="10">
                  <c:v>30928.920507799652</c:v>
                </c:pt>
                <c:pt idx="11">
                  <c:v>30928.920507799652</c:v>
                </c:pt>
              </c:numCache>
            </c:numRef>
          </c:val>
          <c:extLst xmlns:c16r2="http://schemas.microsoft.com/office/drawing/2015/06/chart">
            <c:ext xmlns:c16="http://schemas.microsoft.com/office/drawing/2014/chart" uri="{C3380CC4-5D6E-409C-BE32-E72D297353CC}">
              <c16:uniqueId val="{00000002-00C9-A84D-AE8E-9D64CF8C78C5}"/>
            </c:ext>
          </c:extLst>
        </c:ser>
        <c:ser>
          <c:idx val="3"/>
          <c:order val="3"/>
          <c:tx>
            <c:strRef>
              <c:f>'5-RESULTAT SANS TVA'!$H$8</c:f>
              <c:strCache>
                <c:ptCount val="1"/>
                <c:pt idx="0">
                  <c:v>Flux nets de trésorerie </c:v>
                </c:pt>
              </c:strCache>
            </c:strRef>
          </c:tx>
          <c:spPr>
            <a:ln w="28575" cap="rnd">
              <a:solidFill>
                <a:schemeClr val="accent4"/>
              </a:solidFill>
              <a:round/>
            </a:ln>
            <a:effectLst/>
          </c:spPr>
          <c:marker>
            <c:symbol val="none"/>
          </c:marker>
          <c:cat>
            <c:numRef>
              <c:f>'5-RESULTAT SANS TVA'!$E$9:$E$20</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'5-RESULTAT SANS TVA'!$H$9:$H$20</c:f>
              <c:numCache>
                <c:formatCode>#,##0</c:formatCode>
                <c:ptCount val="12"/>
                <c:pt idx="0">
                  <c:v>-260003.14829467281</c:v>
                </c:pt>
                <c:pt idx="1">
                  <c:v>-654759.37251814909</c:v>
                </c:pt>
                <c:pt idx="2">
                  <c:v>-209630.5644886581</c:v>
                </c:pt>
                <c:pt idx="3">
                  <c:v>37356.698376412649</c:v>
                </c:pt>
                <c:pt idx="4">
                  <c:v>49014.429247480592</c:v>
                </c:pt>
                <c:pt idx="5">
                  <c:v>102116.56528313344</c:v>
                </c:pt>
                <c:pt idx="6">
                  <c:v>168474.53620841075</c:v>
                </c:pt>
                <c:pt idx="7">
                  <c:v>196280.31544651647</c:v>
                </c:pt>
                <c:pt idx="8">
                  <c:v>258444.29095298791</c:v>
                </c:pt>
                <c:pt idx="9">
                  <c:v>280214.52842528332</c:v>
                </c:pt>
                <c:pt idx="10">
                  <c:v>302941.82985903573</c:v>
                </c:pt>
                <c:pt idx="11">
                  <c:v>326674.04845231731</c:v>
                </c:pt>
              </c:numCache>
            </c:numRef>
          </c:val>
          <c:extLst xmlns:c16r2="http://schemas.microsoft.com/office/drawing/2015/06/chart">
            <c:ext xmlns:c16="http://schemas.microsoft.com/office/drawing/2014/chart" uri="{C3380CC4-5D6E-409C-BE32-E72D297353CC}">
              <c16:uniqueId val="{00000003-00C9-A84D-AE8E-9D64CF8C78C5}"/>
            </c:ext>
          </c:extLst>
        </c:ser>
        <c:dLbls/>
        <c:marker val="1"/>
        <c:axId val="72680192"/>
        <c:axId val="72681728"/>
      </c:lineChart>
      <c:catAx>
        <c:axId val="72680192"/>
        <c:scaling>
          <c:orientation val="minMax"/>
        </c:scaling>
        <c:axPos val="b"/>
        <c:numFmt formatCode="General" sourceLinked="1"/>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lang="de-DE" sz="1100" b="0" i="0" u="none" strike="noStrike" kern="1200" baseline="0">
                <a:solidFill>
                  <a:schemeClr val="tx1">
                    <a:lumMod val="65000"/>
                    <a:lumOff val="35000"/>
                  </a:schemeClr>
                </a:solidFill>
                <a:latin typeface="+mn-lt"/>
                <a:ea typeface="+mn-ea"/>
                <a:cs typeface="+mn-cs"/>
              </a:defRPr>
            </a:pPr>
            <a:endParaRPr lang="fr-FR"/>
          </a:p>
        </c:txPr>
        <c:crossAx val="72681728"/>
        <c:crosses val="autoZero"/>
        <c:auto val="1"/>
        <c:lblAlgn val="ctr"/>
        <c:lblOffset val="100"/>
      </c:catAx>
      <c:valAx>
        <c:axId val="72681728"/>
        <c:scaling>
          <c:orientation val="minMax"/>
        </c:scaling>
        <c:axPos val="l"/>
        <c:majorGridlines>
          <c:spPr>
            <a:ln w="9525" cap="flat" cmpd="sng" algn="ctr">
              <a:solidFill>
                <a:schemeClr val="tx1">
                  <a:lumMod val="15000"/>
                  <a:lumOff val="85000"/>
                </a:schemeClr>
              </a:solidFill>
              <a:round/>
            </a:ln>
            <a:effectLst/>
          </c:spPr>
        </c:majorGridlines>
        <c:numFmt formatCode="General" sourceLinked="1"/>
        <c:tickLblPos val="nextTo"/>
        <c:spPr>
          <a:noFill/>
          <a:ln>
            <a:noFill/>
          </a:ln>
          <a:effectLst/>
        </c:spPr>
        <c:txPr>
          <a:bodyPr rot="-60000000" spcFirstLastPara="1" vertOverflow="ellipsis" vert="horz" wrap="square" anchor="ctr" anchorCtr="1"/>
          <a:lstStyle/>
          <a:p>
            <a:pPr>
              <a:defRPr lang="de-DE" sz="1100" b="0" i="0" u="none" strike="noStrike" kern="1200" baseline="0">
                <a:solidFill>
                  <a:schemeClr val="tx1">
                    <a:lumMod val="65000"/>
                    <a:lumOff val="35000"/>
                  </a:schemeClr>
                </a:solidFill>
                <a:latin typeface="+mn-lt"/>
                <a:ea typeface="+mn-ea"/>
                <a:cs typeface="+mn-cs"/>
              </a:defRPr>
            </a:pPr>
            <a:endParaRPr lang="fr-FR"/>
          </a:p>
        </c:txPr>
        <c:crossAx val="72680192"/>
        <c:crosses val="autoZero"/>
        <c:crossBetween val="between"/>
      </c:valAx>
      <c:spPr>
        <a:noFill/>
        <a:ln>
          <a:noFill/>
        </a:ln>
        <a:effectLst/>
      </c:spPr>
    </c:plotArea>
    <c:legend>
      <c:legendPos val="b"/>
      <c:spPr>
        <a:noFill/>
        <a:ln>
          <a:noFill/>
        </a:ln>
        <a:effectLst/>
      </c:spPr>
      <c:txPr>
        <a:bodyPr rot="0" spcFirstLastPara="1" vertOverflow="ellipsis" vert="horz" wrap="square" anchor="ctr" anchorCtr="1"/>
        <a:lstStyle/>
        <a:p>
          <a:pPr>
            <a:defRPr lang="de-DE"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1"/>
  <c:lang val="fr-FR"/>
  <c:chart>
    <c:title>
      <c:tx>
        <c:rich>
          <a:bodyPr rot="0" spcFirstLastPara="1" vertOverflow="ellipsis" vert="horz" wrap="square" anchor="ctr" anchorCtr="1"/>
          <a:lstStyle/>
          <a:p>
            <a:pPr>
              <a:defRPr lang="de-DE" sz="1400" b="1" i="0" u="none" strike="noStrike" kern="1200" spc="0" baseline="0">
                <a:solidFill>
                  <a:schemeClr val="tx1">
                    <a:lumMod val="65000"/>
                    <a:lumOff val="35000"/>
                  </a:schemeClr>
                </a:solidFill>
                <a:latin typeface="+mn-lt"/>
                <a:ea typeface="+mn-ea"/>
                <a:cs typeface="+mn-cs"/>
              </a:defRPr>
            </a:pPr>
            <a:r>
              <a:rPr lang="fr-FR" b="1"/>
              <a:t>période d'exploitation de </a:t>
            </a:r>
            <a:r>
              <a:rPr lang="fr-FR" b="1">
                <a:solidFill>
                  <a:srgbClr val="FF0000"/>
                </a:solidFill>
              </a:rPr>
              <a:t>20 ans</a:t>
            </a:r>
          </a:p>
        </c:rich>
      </c:tx>
      <c:layout>
        <c:manualLayout>
          <c:xMode val="edge"/>
          <c:yMode val="edge"/>
          <c:x val="0.26664474423844642"/>
          <c:y val="1.7490997645188369E-2"/>
        </c:manualLayout>
      </c:layout>
      <c:spPr>
        <a:noFill/>
        <a:ln>
          <a:noFill/>
        </a:ln>
        <a:effectLst/>
      </c:spPr>
    </c:title>
    <c:plotArea>
      <c:layout>
        <c:manualLayout>
          <c:layoutTarget val="inner"/>
          <c:xMode val="edge"/>
          <c:yMode val="edge"/>
          <c:x val="0.14448228346456696"/>
          <c:y val="9.4390094154263804E-2"/>
          <c:w val="0.84454396325459324"/>
          <c:h val="0.76729930296628801"/>
        </c:manualLayout>
      </c:layout>
      <c:lineChart>
        <c:grouping val="standard"/>
        <c:ser>
          <c:idx val="0"/>
          <c:order val="0"/>
          <c:tx>
            <c:strRef>
              <c:f>'5-RESULTAT SANS TVA'!$E$7</c:f>
              <c:strCache>
                <c:ptCount val="1"/>
                <c:pt idx="0">
                  <c:v>Année</c:v>
                </c:pt>
              </c:strCache>
            </c:strRef>
          </c:tx>
          <c:spPr>
            <a:ln w="28575" cap="rnd">
              <a:solidFill>
                <a:schemeClr val="accent1"/>
              </a:solidFill>
              <a:round/>
            </a:ln>
            <a:effectLst/>
          </c:spPr>
          <c:marker>
            <c:symbol val="none"/>
          </c:marker>
          <c:cat>
            <c:numRef>
              <c:f>'5-RESULTAT SANS TVA'!$E$9:$E$31</c:f>
              <c:numCache>
                <c:formatCode>General</c:formatCode>
                <c:ptCount val="23"/>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numCache>
            </c:numRef>
          </c:cat>
          <c:val>
            <c:numRef>
              <c:f>'5-RESULTAT SANS TVA'!$E$8:$E$30</c:f>
              <c:numCache>
                <c:formatCode>General</c:formatCode>
                <c:ptCount val="23"/>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numCache>
            </c:numRef>
          </c:val>
          <c:extLst xmlns:c16r2="http://schemas.microsoft.com/office/drawing/2015/06/chart">
            <c:ext xmlns:c16="http://schemas.microsoft.com/office/drawing/2014/chart" uri="{C3380CC4-5D6E-409C-BE32-E72D297353CC}">
              <c16:uniqueId val="{00000000-EC50-B14C-A4B1-5A5694D376AA}"/>
            </c:ext>
          </c:extLst>
        </c:ser>
        <c:ser>
          <c:idx val="1"/>
          <c:order val="1"/>
          <c:tx>
            <c:strRef>
              <c:f>'5-RESULTAT SANS TVA'!$I$8</c:f>
              <c:strCache>
                <c:ptCount val="1"/>
                <c:pt idx="0">
                  <c:v>Encaissement</c:v>
                </c:pt>
              </c:strCache>
            </c:strRef>
          </c:tx>
          <c:spPr>
            <a:ln w="28575" cap="rnd">
              <a:solidFill>
                <a:schemeClr val="accent2"/>
              </a:solidFill>
              <a:round/>
            </a:ln>
            <a:effectLst/>
          </c:spPr>
          <c:marker>
            <c:symbol val="none"/>
          </c:marker>
          <c:cat>
            <c:numRef>
              <c:f>'5-RESULTAT SANS TVA'!$E$9:$E$31</c:f>
              <c:numCache>
                <c:formatCode>General</c:formatCode>
                <c:ptCount val="23"/>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numCache>
            </c:numRef>
          </c:cat>
          <c:val>
            <c:numRef>
              <c:f>'5-RESULTAT SANS TVA'!$I$9:$I$30</c:f>
              <c:numCache>
                <c:formatCode>#,##0</c:formatCode>
                <c:ptCount val="22"/>
                <c:pt idx="0">
                  <c:v>57904.057544630508</c:v>
                </c:pt>
                <c:pt idx="1">
                  <c:v>136616.89250543059</c:v>
                </c:pt>
                <c:pt idx="2">
                  <c:v>19545.66308262739</c:v>
                </c:pt>
                <c:pt idx="3">
                  <c:v>37356.698376412649</c:v>
                </c:pt>
                <c:pt idx="4">
                  <c:v>79943.349755280244</c:v>
                </c:pt>
                <c:pt idx="5">
                  <c:v>133045.4857909331</c:v>
                </c:pt>
                <c:pt idx="6">
                  <c:v>199403.45671621041</c:v>
                </c:pt>
                <c:pt idx="7">
                  <c:v>268514.46347559342</c:v>
                </c:pt>
                <c:pt idx="8">
                  <c:v>289373.21146078757</c:v>
                </c:pt>
                <c:pt idx="9">
                  <c:v>311143.44893308298</c:v>
                </c:pt>
                <c:pt idx="10">
                  <c:v>333870.75036683539</c:v>
                </c:pt>
                <c:pt idx="11">
                  <c:v>357602.96896011697</c:v>
                </c:pt>
                <c:pt idx="12">
                  <c:v>385019.30881406763</c:v>
                </c:pt>
                <c:pt idx="13">
                  <c:v>408285.65335007349</c:v>
                </c:pt>
                <c:pt idx="14">
                  <c:v>432715.31511287962</c:v>
                </c:pt>
                <c:pt idx="15">
                  <c:v>458366.45996382606</c:v>
                </c:pt>
                <c:pt idx="16">
                  <c:v>485300.16205731995</c:v>
                </c:pt>
                <c:pt idx="17">
                  <c:v>513580.54925548844</c:v>
                </c:pt>
                <c:pt idx="18">
                  <c:v>543274.95581356564</c:v>
                </c:pt>
                <c:pt idx="19">
                  <c:v>574454.08269954636</c:v>
                </c:pt>
                <c:pt idx="20">
                  <c:v>607192.16592982609</c:v>
                </c:pt>
                <c:pt idx="21">
                  <c:v>641567.15332162008</c:v>
                </c:pt>
              </c:numCache>
            </c:numRef>
          </c:val>
          <c:extLst xmlns:c16r2="http://schemas.microsoft.com/office/drawing/2015/06/chart">
            <c:ext xmlns:c16="http://schemas.microsoft.com/office/drawing/2014/chart" uri="{C3380CC4-5D6E-409C-BE32-E72D297353CC}">
              <c16:uniqueId val="{00000001-EC50-B14C-A4B1-5A5694D376AA}"/>
            </c:ext>
          </c:extLst>
        </c:ser>
        <c:ser>
          <c:idx val="2"/>
          <c:order val="2"/>
          <c:tx>
            <c:strRef>
              <c:f>'5-RESULTAT SANS TVA'!$J$8</c:f>
              <c:strCache>
                <c:ptCount val="1"/>
                <c:pt idx="0">
                  <c:v>Décaissement</c:v>
                </c:pt>
              </c:strCache>
            </c:strRef>
          </c:tx>
          <c:spPr>
            <a:ln w="28575" cap="rnd">
              <a:solidFill>
                <a:schemeClr val="accent3"/>
              </a:solidFill>
              <a:round/>
            </a:ln>
            <a:effectLst/>
          </c:spPr>
          <c:marker>
            <c:symbol val="none"/>
          </c:marker>
          <c:cat>
            <c:numRef>
              <c:f>'5-RESULTAT SANS TVA'!$E$9:$E$31</c:f>
              <c:numCache>
                <c:formatCode>General</c:formatCode>
                <c:ptCount val="23"/>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numCache>
            </c:numRef>
          </c:cat>
          <c:val>
            <c:numRef>
              <c:f>'5-RESULTAT SANS TVA'!$J$9:$J$30</c:f>
              <c:numCache>
                <c:formatCode>#,##0</c:formatCode>
                <c:ptCount val="22"/>
                <c:pt idx="0">
                  <c:v>317907.20583930332</c:v>
                </c:pt>
                <c:pt idx="1">
                  <c:v>791376.2650235797</c:v>
                </c:pt>
                <c:pt idx="2">
                  <c:v>229176.22757128548</c:v>
                </c:pt>
                <c:pt idx="3">
                  <c:v>0</c:v>
                </c:pt>
                <c:pt idx="4">
                  <c:v>30928.920507799652</c:v>
                </c:pt>
                <c:pt idx="5">
                  <c:v>30928.920507799652</c:v>
                </c:pt>
                <c:pt idx="6">
                  <c:v>30928.920507799652</c:v>
                </c:pt>
                <c:pt idx="7">
                  <c:v>72234.148029076954</c:v>
                </c:pt>
                <c:pt idx="8">
                  <c:v>30928.920507799652</c:v>
                </c:pt>
                <c:pt idx="9">
                  <c:v>30928.920507799652</c:v>
                </c:pt>
                <c:pt idx="10">
                  <c:v>30928.920507799652</c:v>
                </c:pt>
                <c:pt idx="11">
                  <c:v>30928.920507799652</c:v>
                </c:pt>
                <c:pt idx="12">
                  <c:v>149283.90920970213</c:v>
                </c:pt>
                <c:pt idx="13">
                  <c:v>30928.920507799652</c:v>
                </c:pt>
                <c:pt idx="14">
                  <c:v>0</c:v>
                </c:pt>
                <c:pt idx="15">
                  <c:v>0</c:v>
                </c:pt>
                <c:pt idx="16">
                  <c:v>0</c:v>
                </c:pt>
                <c:pt idx="17">
                  <c:v>55510.771818380177</c:v>
                </c:pt>
                <c:pt idx="18">
                  <c:v>0</c:v>
                </c:pt>
                <c:pt idx="19">
                  <c:v>0</c:v>
                </c:pt>
                <c:pt idx="20">
                  <c:v>0</c:v>
                </c:pt>
                <c:pt idx="21">
                  <c:v>0</c:v>
                </c:pt>
              </c:numCache>
            </c:numRef>
          </c:val>
          <c:extLst xmlns:c16r2="http://schemas.microsoft.com/office/drawing/2015/06/chart">
            <c:ext xmlns:c16="http://schemas.microsoft.com/office/drawing/2014/chart" uri="{C3380CC4-5D6E-409C-BE32-E72D297353CC}">
              <c16:uniqueId val="{00000002-EC50-B14C-A4B1-5A5694D376AA}"/>
            </c:ext>
          </c:extLst>
        </c:ser>
        <c:ser>
          <c:idx val="3"/>
          <c:order val="3"/>
          <c:tx>
            <c:strRef>
              <c:f>'5-RESULTAT SANS TVA'!$K$8</c:f>
              <c:strCache>
                <c:ptCount val="1"/>
                <c:pt idx="0">
                  <c:v>Flux nets de trésorerie </c:v>
                </c:pt>
              </c:strCache>
            </c:strRef>
          </c:tx>
          <c:spPr>
            <a:ln w="28575" cap="rnd">
              <a:solidFill>
                <a:schemeClr val="accent4"/>
              </a:solidFill>
              <a:round/>
            </a:ln>
            <a:effectLst/>
          </c:spPr>
          <c:marker>
            <c:symbol val="none"/>
          </c:marker>
          <c:cat>
            <c:numRef>
              <c:f>'5-RESULTAT SANS TVA'!$E$9:$E$31</c:f>
              <c:numCache>
                <c:formatCode>General</c:formatCode>
                <c:ptCount val="23"/>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numCache>
            </c:numRef>
          </c:cat>
          <c:val>
            <c:numRef>
              <c:f>'5-RESULTAT SANS TVA'!$K$9:$K$30</c:f>
              <c:numCache>
                <c:formatCode>#,##0</c:formatCode>
                <c:ptCount val="22"/>
                <c:pt idx="0">
                  <c:v>-260003.14829467281</c:v>
                </c:pt>
                <c:pt idx="1">
                  <c:v>-654759.37251814909</c:v>
                </c:pt>
                <c:pt idx="2">
                  <c:v>-209630.5644886581</c:v>
                </c:pt>
                <c:pt idx="3">
                  <c:v>37356.698376412649</c:v>
                </c:pt>
                <c:pt idx="4">
                  <c:v>49014.429247480592</c:v>
                </c:pt>
                <c:pt idx="5">
                  <c:v>102116.56528313344</c:v>
                </c:pt>
                <c:pt idx="6">
                  <c:v>168474.53620841075</c:v>
                </c:pt>
                <c:pt idx="7">
                  <c:v>196280.31544651647</c:v>
                </c:pt>
                <c:pt idx="8">
                  <c:v>258444.29095298791</c:v>
                </c:pt>
                <c:pt idx="9">
                  <c:v>280214.52842528332</c:v>
                </c:pt>
                <c:pt idx="10">
                  <c:v>302941.82985903573</c:v>
                </c:pt>
                <c:pt idx="11">
                  <c:v>326674.04845231731</c:v>
                </c:pt>
                <c:pt idx="12">
                  <c:v>235735.39960436549</c:v>
                </c:pt>
                <c:pt idx="13">
                  <c:v>377356.73284227384</c:v>
                </c:pt>
                <c:pt idx="14">
                  <c:v>432715.31511287962</c:v>
                </c:pt>
                <c:pt idx="15">
                  <c:v>458366.45996382606</c:v>
                </c:pt>
                <c:pt idx="16">
                  <c:v>485300.16205731995</c:v>
                </c:pt>
                <c:pt idx="17">
                  <c:v>458069.77743710828</c:v>
                </c:pt>
                <c:pt idx="18">
                  <c:v>543274.95581356564</c:v>
                </c:pt>
                <c:pt idx="19">
                  <c:v>574454.08269954636</c:v>
                </c:pt>
                <c:pt idx="20">
                  <c:v>607192.16592982609</c:v>
                </c:pt>
                <c:pt idx="21">
                  <c:v>641567.15332162008</c:v>
                </c:pt>
              </c:numCache>
            </c:numRef>
          </c:val>
          <c:extLst xmlns:c16r2="http://schemas.microsoft.com/office/drawing/2015/06/chart">
            <c:ext xmlns:c16="http://schemas.microsoft.com/office/drawing/2014/chart" uri="{C3380CC4-5D6E-409C-BE32-E72D297353CC}">
              <c16:uniqueId val="{00000003-EC50-B14C-A4B1-5A5694D376AA}"/>
            </c:ext>
          </c:extLst>
        </c:ser>
        <c:dLbls/>
        <c:marker val="1"/>
        <c:axId val="72742016"/>
        <c:axId val="72743552"/>
      </c:lineChart>
      <c:catAx>
        <c:axId val="72742016"/>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lang="de-DE" sz="1100" b="0" i="0" u="none" strike="noStrike" kern="1200" baseline="0">
                <a:solidFill>
                  <a:schemeClr val="tx1">
                    <a:lumMod val="65000"/>
                    <a:lumOff val="35000"/>
                  </a:schemeClr>
                </a:solidFill>
                <a:latin typeface="+mn-lt"/>
                <a:ea typeface="+mn-ea"/>
                <a:cs typeface="+mn-cs"/>
              </a:defRPr>
            </a:pPr>
            <a:endParaRPr lang="fr-FR"/>
          </a:p>
        </c:txPr>
        <c:crossAx val="72743552"/>
        <c:crosses val="autoZero"/>
        <c:auto val="1"/>
        <c:lblAlgn val="ctr"/>
        <c:lblOffset val="100"/>
      </c:catAx>
      <c:valAx>
        <c:axId val="72743552"/>
        <c:scaling>
          <c:orientation val="minMax"/>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lang="de-DE" sz="1100" b="0" i="0" u="none" strike="noStrike" kern="1200" baseline="0">
                <a:solidFill>
                  <a:schemeClr val="tx1">
                    <a:lumMod val="65000"/>
                    <a:lumOff val="35000"/>
                  </a:schemeClr>
                </a:solidFill>
                <a:latin typeface="+mn-lt"/>
                <a:ea typeface="+mn-ea"/>
                <a:cs typeface="+mn-cs"/>
              </a:defRPr>
            </a:pPr>
            <a:endParaRPr lang="fr-FR"/>
          </a:p>
        </c:txPr>
        <c:crossAx val="72742016"/>
        <c:crosses val="autoZero"/>
        <c:crossBetween val="between"/>
      </c:valAx>
      <c:spPr>
        <a:noFill/>
        <a:ln>
          <a:noFill/>
        </a:ln>
        <a:effectLst/>
      </c:spPr>
    </c:plotArea>
    <c:legend>
      <c:legendPos val="b"/>
      <c:spPr>
        <a:noFill/>
        <a:ln>
          <a:noFill/>
        </a:ln>
        <a:effectLst/>
      </c:spPr>
      <c:txPr>
        <a:bodyPr rot="0" spcFirstLastPara="1" vertOverflow="ellipsis" vert="horz" wrap="square" anchor="ctr" anchorCtr="1"/>
        <a:lstStyle/>
        <a:p>
          <a:pPr>
            <a:defRPr lang="de-DE"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465668</xdr:colOff>
      <xdr:row>0</xdr:row>
      <xdr:rowOff>101600</xdr:rowOff>
    </xdr:from>
    <xdr:to>
      <xdr:col>6</xdr:col>
      <xdr:colOff>863614</xdr:colOff>
      <xdr:row>51</xdr:row>
      <xdr:rowOff>5</xdr:rowOff>
    </xdr:to>
    <xdr:sp macro="" textlink="">
      <xdr:nvSpPr>
        <xdr:cNvPr id="2" name="Textfeld 1">
          <a:extLst>
            <a:ext uri="{FF2B5EF4-FFF2-40B4-BE49-F238E27FC236}">
              <a16:creationId xmlns:a16="http://schemas.microsoft.com/office/drawing/2014/main" xmlns="" id="{00000000-0008-0000-0000-000002000000}"/>
            </a:ext>
          </a:extLst>
        </xdr:cNvPr>
        <xdr:cNvSpPr txBox="1"/>
      </xdr:nvSpPr>
      <xdr:spPr>
        <a:xfrm>
          <a:off x="960968" y="101600"/>
          <a:ext cx="5554133" cy="895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just" rtl="0">
            <a:lnSpc>
              <a:spcPts val="1200"/>
            </a:lnSpc>
            <a:defRPr sz="1000"/>
          </a:pPr>
          <a:r>
            <a:rPr lang="fr-FR" sz="1100" b="0" i="0" u="none" strike="noStrike" baseline="0">
              <a:solidFill>
                <a:srgbClr val="000000"/>
              </a:solidFill>
              <a:latin typeface="Calibri"/>
              <a:ea typeface="Calibri"/>
              <a:cs typeface="Calibri"/>
            </a:rPr>
            <a:t>PRÉFACE</a:t>
          </a:r>
        </a:p>
        <a:p>
          <a:pPr algn="just" rtl="0">
            <a:lnSpc>
              <a:spcPts val="1200"/>
            </a:lnSpc>
            <a:defRPr sz="1000"/>
          </a:pPr>
          <a:endParaRPr lang="fr-FR" sz="1100" b="0" i="0" u="none" strike="noStrike" baseline="0">
            <a:solidFill>
              <a:srgbClr val="000000"/>
            </a:solidFill>
            <a:latin typeface="Calibri"/>
            <a:ea typeface="Calibri"/>
            <a:cs typeface="Calibri"/>
          </a:endParaRPr>
        </a:p>
        <a:p>
          <a:pPr algn="just" rtl="0">
            <a:lnSpc>
              <a:spcPts val="1200"/>
            </a:lnSpc>
            <a:defRPr sz="1000"/>
          </a:pPr>
          <a:r>
            <a:rPr lang="fr-FR" sz="1100" b="0" i="0" u="none" strike="noStrike" baseline="0">
              <a:solidFill>
                <a:srgbClr val="000000"/>
              </a:solidFill>
              <a:latin typeface="Calibri"/>
              <a:ea typeface="Calibri"/>
              <a:cs typeface="Calibri"/>
            </a:rPr>
            <a:t>Pour déceler la rentabilité d’un projet un plan d'affaire pourrait être établi. Il est normalement un instrument pour une entreprise dans un environnement concurrentiel. Pour une entreprise en démarrage, il est une première tentative de planification stratégique. Un entrepreneur doit utiliser un plan d’affaire pour définir l’orientation d’une entreprise au cours des prochaines années. Il doit également définir les étapes et les processus à suivre pour guider l’entreprise au cours de cette période.</a:t>
          </a:r>
        </a:p>
        <a:p>
          <a:pPr algn="just" rtl="0">
            <a:defRPr sz="1000"/>
          </a:pPr>
          <a:endParaRPr lang="fr-FR" sz="1100" b="0" i="0" u="none" strike="noStrike" baseline="0">
            <a:solidFill>
              <a:srgbClr val="000000"/>
            </a:solidFill>
            <a:latin typeface="Calibri"/>
            <a:ea typeface="Calibri"/>
            <a:cs typeface="Calibri"/>
          </a:endParaRPr>
        </a:p>
        <a:p>
          <a:pPr algn="just" rtl="0">
            <a:defRPr sz="1000"/>
          </a:pPr>
          <a:r>
            <a:rPr lang="fr-FR" sz="1100" b="0" i="0" u="none" strike="noStrike" baseline="0">
              <a:solidFill>
                <a:srgbClr val="000000"/>
              </a:solidFill>
              <a:latin typeface="Calibri"/>
              <a:ea typeface="Calibri"/>
              <a:cs typeface="Calibri"/>
            </a:rPr>
            <a:t>Pour les entreprises travaillant dans un environnement concurrentiel, les plans d’entreprise sont utilisés au minimum pour:</a:t>
          </a:r>
        </a:p>
        <a:p>
          <a:pPr algn="just" rtl="0">
            <a:lnSpc>
              <a:spcPts val="1200"/>
            </a:lnSpc>
            <a:defRPr sz="1000"/>
          </a:pPr>
          <a:endParaRPr lang="fr-FR" sz="1100" b="0" i="0" u="none" strike="noStrike" baseline="0">
            <a:solidFill>
              <a:srgbClr val="000000"/>
            </a:solidFill>
            <a:latin typeface="Calibri"/>
            <a:ea typeface="Calibri"/>
            <a:cs typeface="Calibri"/>
          </a:endParaRPr>
        </a:p>
        <a:p>
          <a:pPr algn="just" rtl="0">
            <a:defRPr sz="1000"/>
          </a:pPr>
          <a:r>
            <a:rPr lang="fr-FR" sz="1100" b="0" i="0" u="none" strike="noStrike" baseline="0">
              <a:solidFill>
                <a:srgbClr val="000000"/>
              </a:solidFill>
              <a:latin typeface="Calibri"/>
              <a:ea typeface="Calibri"/>
              <a:cs typeface="Calibri"/>
            </a:rPr>
            <a:t>• Fixer les buts et objectifs de la performance de l'entreprise.</a:t>
          </a:r>
        </a:p>
        <a:p>
          <a:pPr algn="just" rtl="0">
            <a:lnSpc>
              <a:spcPts val="1200"/>
            </a:lnSpc>
            <a:defRPr sz="1000"/>
          </a:pPr>
          <a:r>
            <a:rPr lang="fr-FR" sz="1100" b="0" i="0" u="none" strike="noStrike" baseline="0">
              <a:solidFill>
                <a:srgbClr val="000000"/>
              </a:solidFill>
              <a:latin typeface="Calibri"/>
              <a:ea typeface="Calibri"/>
              <a:cs typeface="Calibri"/>
            </a:rPr>
            <a:t>• Fournir une base pour évaluer et contrôler les performances de l'entreprise.</a:t>
          </a:r>
        </a:p>
        <a:p>
          <a:pPr marL="0" marR="0" indent="0" algn="just" defTabSz="914400" rtl="0" eaLnBrk="1" fontAlgn="auto" latinLnBrk="0" hangingPunct="1">
            <a:lnSpc>
              <a:spcPts val="1200"/>
            </a:lnSpc>
            <a:spcBef>
              <a:spcPts val="0"/>
            </a:spcBef>
            <a:spcAft>
              <a:spcPts val="0"/>
            </a:spcAft>
            <a:buClrTx/>
            <a:buSzTx/>
            <a:buFontTx/>
            <a:buNone/>
            <a:tabLst/>
            <a:defRPr sz="1000"/>
          </a:pPr>
          <a:r>
            <a:rPr lang="fr-FR" sz="1100" b="0" i="0" u="none" strike="noStrike" baseline="0">
              <a:solidFill>
                <a:srgbClr val="000000"/>
              </a:solidFill>
              <a:latin typeface="Calibri"/>
              <a:ea typeface="Calibri"/>
              <a:cs typeface="Calibri"/>
            </a:rPr>
            <a:t>• Communiquer le message d'une entreprise aux cadres intermédiaires, aux administrateurs extérieurs, aux dirigeants politiques et aux investisseurs potentiels</a:t>
          </a:r>
          <a:endParaRPr lang="fr-FR" sz="1100">
            <a:effectLst/>
          </a:endParaRPr>
        </a:p>
        <a:p>
          <a:pPr algn="just" rtl="0">
            <a:lnSpc>
              <a:spcPts val="1200"/>
            </a:lnSpc>
            <a:defRPr sz="1000"/>
          </a:pPr>
          <a:r>
            <a:rPr lang="fr-FR" sz="1100" b="0" i="0" u="none" strike="noStrike" baseline="0">
              <a:solidFill>
                <a:srgbClr val="000000"/>
              </a:solidFill>
              <a:latin typeface="Calibri"/>
              <a:ea typeface="Calibri"/>
              <a:cs typeface="Calibri"/>
            </a:rPr>
            <a:t> </a:t>
          </a:r>
        </a:p>
        <a:p>
          <a:pPr algn="just" rtl="0">
            <a:lnSpc>
              <a:spcPts val="1200"/>
            </a:lnSpc>
            <a:defRPr sz="1000"/>
          </a:pPr>
          <a:endParaRPr lang="fr-FR" sz="1100" b="0" i="0" u="none" strike="noStrike" baseline="0">
            <a:solidFill>
              <a:srgbClr val="000000"/>
            </a:solidFill>
            <a:latin typeface="Calibri"/>
            <a:ea typeface="Calibri"/>
            <a:cs typeface="Calibri"/>
          </a:endParaRPr>
        </a:p>
        <a:p>
          <a:pPr algn="just" rtl="0">
            <a:defRPr sz="1000"/>
          </a:pPr>
          <a:r>
            <a:rPr lang="fr-FR" sz="1100" b="0" i="0" u="none" strike="noStrike" baseline="0">
              <a:solidFill>
                <a:srgbClr val="000000"/>
              </a:solidFill>
              <a:latin typeface="Calibri"/>
              <a:ea typeface="Calibri"/>
              <a:cs typeface="Calibri"/>
            </a:rPr>
            <a:t>Un plan d’affaire peut également être utilisé pour développer et documenter des jalons tout au long des parcours de l'entreprise. Un plan d’affaire peut fournir à l'équipe de direction une base objective pour déterminer si l'entreprise est sur la bonne voie pour atteindre les buts et objectifs fixés. L'entreprise doit être présentée aux investisseurs potentiels, aux employés nouveaux, aux conseillers externes et aux clients potentiels. Le plan d'affaires doit montrer comment toutes les composantes de l'entreprise s'imbriquent pour créer une organisation dynamique capable d'atteindre ses buts et objectifs.</a:t>
          </a:r>
        </a:p>
        <a:p>
          <a:pPr algn="just" rtl="0">
            <a:lnSpc>
              <a:spcPts val="1200"/>
            </a:lnSpc>
            <a:defRPr sz="1000"/>
          </a:pPr>
          <a:endParaRPr lang="fr-FR" sz="1100" b="0" i="0" u="none" strike="noStrike" baseline="0">
            <a:solidFill>
              <a:srgbClr val="000000"/>
            </a:solidFill>
            <a:latin typeface="Calibri"/>
            <a:ea typeface="Calibri"/>
            <a:cs typeface="Calibri"/>
          </a:endParaRPr>
        </a:p>
        <a:p>
          <a:pPr algn="just" rtl="0">
            <a:lnSpc>
              <a:spcPts val="1200"/>
            </a:lnSpc>
            <a:defRPr sz="1000"/>
          </a:pPr>
          <a:r>
            <a:rPr lang="fr-FR" sz="1100" b="0" i="0" u="none" strike="noStrike" baseline="0">
              <a:solidFill>
                <a:srgbClr val="000000"/>
              </a:solidFill>
              <a:latin typeface="Calibri"/>
              <a:ea typeface="Calibri"/>
              <a:cs typeface="Calibri"/>
            </a:rPr>
            <a:t>Les sections d'un plan d'affaires sont assez standard. En règle générale, un plan d’affaires complet est un plan d’activités résumé sont destinés aux lecteurs extérieurs à l’entreprise.</a:t>
          </a:r>
        </a:p>
        <a:p>
          <a:pPr algn="just" rtl="0">
            <a:lnSpc>
              <a:spcPts val="1200"/>
            </a:lnSpc>
            <a:defRPr sz="1000"/>
          </a:pPr>
          <a:endParaRPr lang="fr-FR" sz="1100" b="0" i="0" u="none" strike="noStrike" baseline="0">
            <a:solidFill>
              <a:srgbClr val="000000"/>
            </a:solidFill>
            <a:latin typeface="Calibri"/>
            <a:ea typeface="Calibri"/>
            <a:cs typeface="Calibri"/>
          </a:endParaRPr>
        </a:p>
        <a:p>
          <a:pPr algn="just" rtl="0">
            <a:lnSpc>
              <a:spcPts val="1200"/>
            </a:lnSpc>
            <a:defRPr sz="1000"/>
          </a:pPr>
          <a:r>
            <a:rPr lang="fr-FR" sz="1100" b="0" i="0" u="none" strike="noStrike" baseline="0">
              <a:solidFill>
                <a:srgbClr val="000000"/>
              </a:solidFill>
              <a:latin typeface="Calibri"/>
              <a:ea typeface="Calibri"/>
              <a:cs typeface="Calibri"/>
            </a:rPr>
            <a:t>Il existe plusieurs formes de plans d'affaires:</a:t>
          </a:r>
        </a:p>
        <a:p>
          <a:pPr algn="just" rtl="0">
            <a:lnSpc>
              <a:spcPts val="1200"/>
            </a:lnSpc>
            <a:defRPr sz="1000"/>
          </a:pPr>
          <a:endParaRPr lang="fr-FR" sz="1100" b="0" i="0" u="none" strike="noStrike" baseline="0">
            <a:solidFill>
              <a:srgbClr val="000000"/>
            </a:solidFill>
            <a:latin typeface="Calibri"/>
            <a:ea typeface="Calibri"/>
            <a:cs typeface="Calibri"/>
          </a:endParaRPr>
        </a:p>
        <a:p>
          <a:pPr algn="just" rtl="0">
            <a:lnSpc>
              <a:spcPts val="1200"/>
            </a:lnSpc>
            <a:defRPr sz="1000"/>
          </a:pPr>
          <a:r>
            <a:rPr lang="fr-FR" sz="1100" b="0" i="0" u="none" strike="noStrike" baseline="0">
              <a:solidFill>
                <a:srgbClr val="000000"/>
              </a:solidFill>
              <a:latin typeface="Calibri"/>
              <a:ea typeface="Calibri"/>
              <a:cs typeface="Calibri"/>
            </a:rPr>
            <a:t>1. Un plan d'affaires opérationnel est un document interne important d'une entreprise déjà établié. L'équipe de direction, le conseil d'administration et les conseillers professionnels l'utilisent principalement. </a:t>
          </a:r>
        </a:p>
        <a:p>
          <a:pPr algn="just" rtl="0">
            <a:lnSpc>
              <a:spcPts val="1200"/>
            </a:lnSpc>
            <a:defRPr sz="1000"/>
          </a:pPr>
          <a:r>
            <a:rPr lang="fr-FR" sz="1100" b="0" i="0" u="none" strike="noStrike" baseline="0">
              <a:solidFill>
                <a:srgbClr val="000000"/>
              </a:solidFill>
              <a:latin typeface="Calibri"/>
              <a:ea typeface="Calibri"/>
              <a:cs typeface="Calibri"/>
            </a:rPr>
            <a:t>2. Un plan d'affaires complet est nécessaire lorsqu'un montant important de financement est nécessaire ou lorsqu'un lecteur externe doit avoir une image complète de l'entreprise. Ce formulaire est nécessaire pour expliquer le concept commercial en détail aux bailleurs de fonds potentiels, aux partenaires stratégiques ou aux acheteurs potentiels de la société.</a:t>
          </a:r>
        </a:p>
        <a:p>
          <a:pPr algn="just" rtl="0">
            <a:defRPr sz="1000"/>
          </a:pPr>
          <a:r>
            <a:rPr lang="fr-FR" sz="1100" b="0" i="0" u="none" strike="noStrike" baseline="0">
              <a:solidFill>
                <a:srgbClr val="000000"/>
              </a:solidFill>
              <a:latin typeface="Calibri"/>
              <a:ea typeface="Calibri"/>
              <a:cs typeface="Calibri"/>
            </a:rPr>
            <a:t>3. Un plan d'affaires résumé est un document beaucoup plus court qui met en évidence les informations les plus importantes sur l'entreprise et son orientation. Il devrait indiquer clairement la ou les demandes spécifiques et le but de la demande. Un plan d’affaire résumé est également efficace pour les prêts bancaires modestes à modérés ou pour attirer des employés clés.</a:t>
          </a:r>
        </a:p>
        <a:p>
          <a:pPr algn="just" rtl="0">
            <a:lnSpc>
              <a:spcPts val="1200"/>
            </a:lnSpc>
            <a:defRPr sz="1000"/>
          </a:pPr>
          <a:endParaRPr lang="fr-FR" sz="1100" b="0" i="0" u="none" strike="noStrike" baseline="0">
            <a:solidFill>
              <a:srgbClr val="000000"/>
            </a:solidFill>
            <a:latin typeface="Calibri"/>
            <a:ea typeface="Calibri"/>
            <a:cs typeface="Calibri"/>
          </a:endParaRPr>
        </a:p>
        <a:p>
          <a:pPr algn="just" rtl="0">
            <a:lnSpc>
              <a:spcPts val="1200"/>
            </a:lnSpc>
            <a:defRPr sz="1000"/>
          </a:pPr>
          <a:r>
            <a:rPr lang="fr-FR" sz="1100" b="0" i="0" u="none" strike="noStrike" baseline="0">
              <a:solidFill>
                <a:srgbClr val="000000"/>
              </a:solidFill>
              <a:latin typeface="Calibri"/>
              <a:ea typeface="Calibri"/>
              <a:cs typeface="Calibri"/>
            </a:rPr>
            <a:t>Le formulaire utilisé pour la construction d'un marché public est un plan d’activités succinct, car il s’agit d’une entité publique qui n’a pas besoin d’apports de capitaux privés supplémentaires, qui ne présente pas de bilan et qui n’est pas auditée externes. Ce plan d’affaire devrait concerner toutes les parties prenantes, en particulier le maire de la commune et ceux des communes probablement associés.</a:t>
          </a:r>
        </a:p>
        <a:p>
          <a:pPr algn="just" rtl="0">
            <a:lnSpc>
              <a:spcPts val="1100"/>
            </a:lnSpc>
            <a:defRPr sz="1000"/>
          </a:pPr>
          <a:endParaRPr lang="fr-FR" sz="1100" b="0" i="0" u="none" strike="noStrike" baseline="0">
            <a:solidFill>
              <a:srgbClr val="000000"/>
            </a:solidFill>
            <a:latin typeface="Calibri"/>
            <a:ea typeface="Calibri"/>
            <a:cs typeface="Calibr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439013</xdr:colOff>
      <xdr:row>33</xdr:row>
      <xdr:rowOff>62714</xdr:rowOff>
    </xdr:from>
    <xdr:to>
      <xdr:col>7</xdr:col>
      <xdr:colOff>486050</xdr:colOff>
      <xdr:row>45</xdr:row>
      <xdr:rowOff>156790</xdr:rowOff>
    </xdr:to>
    <xdr:graphicFrame macro="">
      <xdr:nvGraphicFramePr>
        <xdr:cNvPr id="3" name="Graphique 2">
          <a:extLst>
            <a:ext uri="{FF2B5EF4-FFF2-40B4-BE49-F238E27FC236}">
              <a16:creationId xmlns:a16="http://schemas.microsoft.com/office/drawing/2014/main" xmlns=""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580125</xdr:colOff>
      <xdr:row>33</xdr:row>
      <xdr:rowOff>47037</xdr:rowOff>
    </xdr:from>
    <xdr:to>
      <xdr:col>11</xdr:col>
      <xdr:colOff>94075</xdr:colOff>
      <xdr:row>45</xdr:row>
      <xdr:rowOff>125432</xdr:rowOff>
    </xdr:to>
    <xdr:graphicFrame macro="">
      <xdr:nvGraphicFramePr>
        <xdr:cNvPr id="4" name="Graphique 3">
          <a:extLst>
            <a:ext uri="{FF2B5EF4-FFF2-40B4-BE49-F238E27FC236}">
              <a16:creationId xmlns:a16="http://schemas.microsoft.com/office/drawing/2014/main" xmlns=""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122903</xdr:colOff>
      <xdr:row>33</xdr:row>
      <xdr:rowOff>102421</xdr:rowOff>
    </xdr:from>
    <xdr:to>
      <xdr:col>7</xdr:col>
      <xdr:colOff>20485</xdr:colOff>
      <xdr:row>43</xdr:row>
      <xdr:rowOff>1</xdr:rowOff>
    </xdr:to>
    <xdr:graphicFrame macro="">
      <xdr:nvGraphicFramePr>
        <xdr:cNvPr id="14" name="Graphique 13">
          <a:extLst>
            <a:ext uri="{FF2B5EF4-FFF2-40B4-BE49-F238E27FC236}">
              <a16:creationId xmlns:a16="http://schemas.microsoft.com/office/drawing/2014/main" xmlns="" id="{00000000-0008-0000-05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163871</xdr:colOff>
      <xdr:row>33</xdr:row>
      <xdr:rowOff>88780</xdr:rowOff>
    </xdr:from>
    <xdr:to>
      <xdr:col>11</xdr:col>
      <xdr:colOff>122903</xdr:colOff>
      <xdr:row>42</xdr:row>
      <xdr:rowOff>327741</xdr:rowOff>
    </xdr:to>
    <xdr:graphicFrame macro="">
      <xdr:nvGraphicFramePr>
        <xdr:cNvPr id="15" name="Graphique 14">
          <a:extLst>
            <a:ext uri="{FF2B5EF4-FFF2-40B4-BE49-F238E27FC236}">
              <a16:creationId xmlns:a16="http://schemas.microsoft.com/office/drawing/2014/main" xmlns="" id="{00000000-0008-0000-05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
  <sheetViews>
    <sheetView topLeftCell="A29" zoomScale="150" workbookViewId="0">
      <selection activeCell="A12" sqref="A12:XFD12"/>
    </sheetView>
  </sheetViews>
  <sheetFormatPr baseColWidth="10" defaultColWidth="10.625" defaultRowHeight="12.75"/>
  <cols>
    <col min="1" max="1" width="5.625" style="1" customWidth="1"/>
    <col min="2" max="16384" width="10.625" style="1"/>
  </cols>
  <sheetData/>
  <phoneticPr fontId="3" type="noConversion"/>
  <printOptions horizontalCentered="1" verticalCentered="1"/>
  <pageMargins left="0.55314960629921262" right="0.55314960629921262" top="0.60629921259842523" bottom="0.60629921259842523" header="0.5" footer="0.5"/>
  <pageSetup paperSize="9" scale="69" orientation="landscape" horizontalDpi="0" verticalDpi="0"/>
  <drawing r:id="rId1"/>
</worksheet>
</file>

<file path=xl/worksheets/sheet10.xml><?xml version="1.0" encoding="utf-8"?>
<worksheet xmlns="http://schemas.openxmlformats.org/spreadsheetml/2006/main" xmlns:r="http://schemas.openxmlformats.org/officeDocument/2006/relationships">
  <dimension ref="A3:AA67"/>
  <sheetViews>
    <sheetView topLeftCell="F3" zoomScale="83" zoomScaleNormal="83" workbookViewId="0">
      <selection activeCell="P17" sqref="P17"/>
    </sheetView>
  </sheetViews>
  <sheetFormatPr baseColWidth="10" defaultRowHeight="12.75"/>
  <cols>
    <col min="2" max="2" width="22.875" customWidth="1"/>
    <col min="3" max="3" width="10.125" customWidth="1"/>
    <col min="4" max="4" width="7.625" customWidth="1"/>
    <col min="5" max="5" width="13" style="97" customWidth="1"/>
    <col min="6" max="6" width="16.625" style="55" customWidth="1"/>
    <col min="7" max="7" width="18.5" style="55" customWidth="1"/>
    <col min="8" max="8" width="17.875" style="53" customWidth="1"/>
    <col min="9" max="9" width="16.5" style="55" customWidth="1"/>
    <col min="10" max="10" width="16.625" style="53" customWidth="1"/>
    <col min="11" max="11" width="16.375" style="97" customWidth="1"/>
    <col min="12" max="12" width="18.125" style="97" customWidth="1"/>
    <col min="13" max="13" width="13.125" style="97" customWidth="1"/>
    <col min="14" max="14" width="12.5" style="97" customWidth="1"/>
    <col min="15" max="15" width="9.375" style="97" customWidth="1"/>
    <col min="16" max="16" width="12.375" style="97" customWidth="1"/>
    <col min="17" max="17" width="12" style="97" customWidth="1"/>
    <col min="18" max="18" width="11.5" style="97" customWidth="1"/>
    <col min="19" max="19" width="12" style="97" customWidth="1"/>
    <col min="20" max="21" width="11" style="97"/>
    <col min="22" max="22" width="17.375" style="97" customWidth="1"/>
    <col min="23" max="23" width="15.125" style="97" customWidth="1"/>
    <col min="24" max="24" width="11" style="97"/>
    <col min="25" max="25" width="12.5" style="97" customWidth="1"/>
  </cols>
  <sheetData>
    <row r="3" spans="2:27" ht="13.5" thickBot="1">
      <c r="B3" s="56"/>
    </row>
    <row r="4" spans="2:27" ht="21.95" customHeight="1" thickBot="1">
      <c r="B4" s="1522" t="s">
        <v>174</v>
      </c>
      <c r="C4" s="1523"/>
      <c r="D4" s="1523"/>
      <c r="E4" s="1523"/>
      <c r="F4" s="1523"/>
      <c r="G4" s="1523"/>
      <c r="H4" s="1524"/>
      <c r="U4" s="1513"/>
      <c r="V4" s="1514"/>
      <c r="W4" s="1515"/>
      <c r="X4" s="1531"/>
      <c r="Y4" s="1511"/>
      <c r="Z4" s="1511"/>
    </row>
    <row r="5" spans="2:27" ht="18.95" customHeight="1" thickBot="1">
      <c r="U5" s="1516"/>
      <c r="V5" s="1517"/>
      <c r="W5" s="1518"/>
      <c r="X5" s="1531"/>
      <c r="Y5" s="1511"/>
      <c r="Z5" s="1512"/>
    </row>
    <row r="6" spans="2:27" s="116" customFormat="1" ht="18.95" customHeight="1" thickBot="1">
      <c r="B6" s="1560" t="s">
        <v>95</v>
      </c>
      <c r="C6" s="1561"/>
      <c r="D6" s="1561"/>
      <c r="E6" s="1561"/>
      <c r="F6" s="1525" t="s">
        <v>167</v>
      </c>
      <c r="G6" s="1526"/>
      <c r="H6" s="1526"/>
      <c r="I6" s="1527"/>
      <c r="J6" s="1556" t="s">
        <v>168</v>
      </c>
      <c r="K6" s="1557"/>
      <c r="L6" s="1557"/>
      <c r="M6" s="1557"/>
      <c r="N6" s="1557"/>
      <c r="O6" s="1557"/>
      <c r="P6" s="1558"/>
      <c r="Q6" s="1558"/>
      <c r="R6" s="1559"/>
      <c r="S6" s="275"/>
      <c r="T6" s="275"/>
      <c r="U6" s="268"/>
      <c r="V6" s="269"/>
      <c r="W6" s="270"/>
      <c r="X6" s="267"/>
      <c r="Y6" s="267"/>
      <c r="Z6" s="104"/>
    </row>
    <row r="7" spans="2:27" s="116" customFormat="1" ht="24.95" customHeight="1">
      <c r="B7" s="1562"/>
      <c r="C7" s="1563"/>
      <c r="D7" s="1563"/>
      <c r="E7" s="1563"/>
      <c r="F7" s="1528"/>
      <c r="G7" s="1529"/>
      <c r="H7" s="1529"/>
      <c r="I7" s="1530"/>
      <c r="J7" s="1532">
        <v>2020</v>
      </c>
      <c r="K7" s="1533"/>
      <c r="L7" s="1534"/>
      <c r="M7" s="1535">
        <f>+J7+1</f>
        <v>2021</v>
      </c>
      <c r="N7" s="1533"/>
      <c r="O7" s="1536"/>
      <c r="P7" s="1493">
        <f>+M7+1</f>
        <v>2022</v>
      </c>
      <c r="Q7" s="1491"/>
      <c r="R7" s="1492"/>
      <c r="S7" s="273"/>
      <c r="T7" s="273"/>
      <c r="U7" s="1519"/>
      <c r="V7" s="1519"/>
      <c r="W7" s="1519"/>
      <c r="X7" s="105"/>
      <c r="Y7" s="106"/>
      <c r="Z7" s="257"/>
      <c r="AA7" s="258"/>
    </row>
    <row r="8" spans="2:27" ht="39" customHeight="1" thickBot="1">
      <c r="B8" s="1564"/>
      <c r="C8" s="1565"/>
      <c r="D8" s="1565"/>
      <c r="E8" s="1565"/>
      <c r="F8" s="841" t="s">
        <v>431</v>
      </c>
      <c r="G8" s="931" t="s">
        <v>67</v>
      </c>
      <c r="H8" s="841" t="s">
        <v>432</v>
      </c>
      <c r="I8" s="949" t="s">
        <v>72</v>
      </c>
      <c r="J8" s="841" t="s">
        <v>431</v>
      </c>
      <c r="K8" s="841" t="s">
        <v>432</v>
      </c>
      <c r="L8" s="949" t="s">
        <v>72</v>
      </c>
      <c r="M8" s="841" t="s">
        <v>431</v>
      </c>
      <c r="N8" s="841" t="s">
        <v>432</v>
      </c>
      <c r="O8" s="950" t="s">
        <v>72</v>
      </c>
      <c r="P8" s="841" t="s">
        <v>431</v>
      </c>
      <c r="Q8" s="841" t="s">
        <v>432</v>
      </c>
      <c r="R8" s="949" t="s">
        <v>72</v>
      </c>
      <c r="S8" s="83"/>
      <c r="T8" s="84"/>
      <c r="U8" s="1520"/>
      <c r="V8" s="1520"/>
      <c r="W8" s="1520"/>
      <c r="X8" s="100"/>
      <c r="Y8" s="96"/>
      <c r="Z8" s="98"/>
      <c r="AA8" s="99"/>
    </row>
    <row r="9" spans="2:27" s="116" customFormat="1" ht="20.100000000000001" customHeight="1">
      <c r="B9" s="1537" t="s">
        <v>66</v>
      </c>
      <c r="C9" s="1538"/>
      <c r="D9" s="1538"/>
      <c r="E9" s="1539"/>
      <c r="F9" s="935">
        <f>+'3-DONNEES DE BASE'!G15*'3-DONNEES DE BASE'!K14</f>
        <v>180000</v>
      </c>
      <c r="G9" s="951">
        <f>+'3-DONNEES DE BASE'!E37</f>
        <v>0</v>
      </c>
      <c r="H9" s="934">
        <f>+'3-DONNEES DE BASE'!K14*'3-DONNEES DE BASE'!G15</f>
        <v>180000</v>
      </c>
      <c r="I9" s="937">
        <f t="shared" ref="I9:I15" si="0">+F9-H9</f>
        <v>0</v>
      </c>
      <c r="J9" s="935">
        <f>+F9*'3-DONNEES DE BASE'!E42</f>
        <v>180000</v>
      </c>
      <c r="K9" s="934">
        <f t="shared" ref="K9:K15" si="1">+J9/(1+G9)</f>
        <v>180000</v>
      </c>
      <c r="L9" s="939">
        <f t="shared" ref="L9:L15" si="2">+J9-K9</f>
        <v>0</v>
      </c>
      <c r="M9" s="952">
        <f>+F9*'3-DONNEES DE BASE'!E44</f>
        <v>0</v>
      </c>
      <c r="N9" s="936">
        <f t="shared" ref="N9:N15" si="3">+M9/(1+G9)</f>
        <v>0</v>
      </c>
      <c r="O9" s="938"/>
      <c r="P9" s="953">
        <f>+F9*'3-DONNEES DE BASE'!E44</f>
        <v>0</v>
      </c>
      <c r="Q9" s="954">
        <f t="shared" ref="Q9:Q15" si="4">+P9/(1+G9)</f>
        <v>0</v>
      </c>
      <c r="R9" s="939">
        <f>+P9-Q9</f>
        <v>0</v>
      </c>
      <c r="S9" s="135"/>
      <c r="T9" s="135"/>
      <c r="U9" s="1521"/>
      <c r="V9" s="1521"/>
      <c r="W9" s="1521"/>
      <c r="X9" s="100"/>
      <c r="Y9" s="106"/>
      <c r="Z9" s="257"/>
      <c r="AA9" s="258"/>
    </row>
    <row r="10" spans="2:27" s="116" customFormat="1" ht="23.45" customHeight="1">
      <c r="B10" s="1540" t="s">
        <v>63</v>
      </c>
      <c r="C10" s="1541"/>
      <c r="D10" s="1541"/>
      <c r="E10" s="1542"/>
      <c r="F10" s="903">
        <f>+'3-DONNEES DE BASE'!E19*'3-DONNEES DE BASE'!G15*'3-DONNEES DE BASE'!K14</f>
        <v>18000</v>
      </c>
      <c r="G10" s="955">
        <f>+'3-DONNEES DE BASE'!E35</f>
        <v>0.19</v>
      </c>
      <c r="H10" s="904">
        <f t="shared" ref="H10:H15" si="5">+F10/(1+G10)</f>
        <v>15126.050420168069</v>
      </c>
      <c r="I10" s="943">
        <f t="shared" si="0"/>
        <v>2873.9495798319313</v>
      </c>
      <c r="J10" s="903">
        <f>+F10*'3-DONNEES DE BASE'!E42</f>
        <v>18000</v>
      </c>
      <c r="K10" s="904">
        <f t="shared" si="1"/>
        <v>15126.050420168069</v>
      </c>
      <c r="L10" s="905">
        <f t="shared" si="2"/>
        <v>2873.9495798319313</v>
      </c>
      <c r="M10" s="956">
        <f>+F10*'3-DONNEES DE BASE'!E43</f>
        <v>0</v>
      </c>
      <c r="N10" s="942">
        <f t="shared" si="3"/>
        <v>0</v>
      </c>
      <c r="O10" s="944"/>
      <c r="P10" s="957">
        <f>+F10*'3-DONNEES DE BASE'!E44</f>
        <v>0</v>
      </c>
      <c r="Q10" s="906">
        <f t="shared" si="4"/>
        <v>0</v>
      </c>
      <c r="R10" s="905">
        <f t="shared" ref="R10:R15" si="6">+P10-Q10</f>
        <v>0</v>
      </c>
      <c r="S10" s="135"/>
      <c r="T10" s="135"/>
      <c r="U10" s="1521"/>
      <c r="V10" s="1521"/>
      <c r="W10" s="1521"/>
      <c r="X10" s="100"/>
      <c r="Y10" s="106"/>
      <c r="Z10" s="257"/>
      <c r="AA10" s="258"/>
    </row>
    <row r="11" spans="2:27" s="256" customFormat="1" ht="44.45" customHeight="1">
      <c r="B11" s="1485" t="s">
        <v>433</v>
      </c>
      <c r="C11" s="1486"/>
      <c r="D11" s="1486"/>
      <c r="E11" s="1487"/>
      <c r="F11" s="903">
        <f>+'3-DONNEES DE BASE'!G20</f>
        <v>800000</v>
      </c>
      <c r="G11" s="955">
        <f>+'3-DONNEES DE BASE'!E35</f>
        <v>0.19</v>
      </c>
      <c r="H11" s="904">
        <f t="shared" si="5"/>
        <v>672268.90756302525</v>
      </c>
      <c r="I11" s="943">
        <f t="shared" si="0"/>
        <v>127731.09243697475</v>
      </c>
      <c r="J11" s="903">
        <f>+F11*'3-DONNEES DE BASE'!E50</f>
        <v>0</v>
      </c>
      <c r="K11" s="904">
        <f t="shared" si="1"/>
        <v>0</v>
      </c>
      <c r="L11" s="905">
        <f t="shared" si="2"/>
        <v>0</v>
      </c>
      <c r="M11" s="956">
        <f>+F11*'3-DONNEES DE BASE'!E51</f>
        <v>640000</v>
      </c>
      <c r="N11" s="904">
        <f t="shared" si="3"/>
        <v>537815.12605042022</v>
      </c>
      <c r="O11" s="907">
        <f>+M11-N11</f>
        <v>102184.87394957978</v>
      </c>
      <c r="P11" s="957">
        <f>+F11*'3-DONNEES DE BASE'!E52</f>
        <v>160000</v>
      </c>
      <c r="Q11" s="906">
        <f t="shared" si="4"/>
        <v>134453.78151260506</v>
      </c>
      <c r="R11" s="905">
        <f t="shared" si="6"/>
        <v>25546.218487394945</v>
      </c>
      <c r="S11" s="135"/>
      <c r="T11" s="135"/>
      <c r="U11" s="1521"/>
      <c r="V11" s="1521"/>
      <c r="W11" s="1521"/>
      <c r="X11" s="100"/>
      <c r="Y11" s="106"/>
      <c r="Z11" s="254"/>
      <c r="AA11" s="255"/>
    </row>
    <row r="12" spans="2:27" s="261" customFormat="1" ht="68.099999999999994" customHeight="1">
      <c r="B12" s="1485" t="s">
        <v>434</v>
      </c>
      <c r="C12" s="1486"/>
      <c r="D12" s="1486"/>
      <c r="E12" s="1487"/>
      <c r="F12" s="903">
        <f>+'3-DONNEES DE BASE'!G20*'3-DONNEES DE BASE'!E21</f>
        <v>62400</v>
      </c>
      <c r="G12" s="955">
        <f>+'3-DONNEES DE BASE'!E35</f>
        <v>0.19</v>
      </c>
      <c r="H12" s="904">
        <f t="shared" si="5"/>
        <v>52436.97478991597</v>
      </c>
      <c r="I12" s="943">
        <f t="shared" si="0"/>
        <v>9963.0252100840298</v>
      </c>
      <c r="J12" s="903">
        <f>+F12*'3-DONNEES DE BASE'!E54</f>
        <v>0</v>
      </c>
      <c r="K12" s="904">
        <f t="shared" si="1"/>
        <v>0</v>
      </c>
      <c r="L12" s="905">
        <f t="shared" si="2"/>
        <v>0</v>
      </c>
      <c r="M12" s="956">
        <f>+F12*'3-DONNEES DE BASE'!E55</f>
        <v>49920</v>
      </c>
      <c r="N12" s="904">
        <f t="shared" si="3"/>
        <v>41949.579831932773</v>
      </c>
      <c r="O12" s="907">
        <f>+M12-N12</f>
        <v>7970.4201680672268</v>
      </c>
      <c r="P12" s="957">
        <f>+F12*'3-DONNEES DE BASE'!E56</f>
        <v>12480</v>
      </c>
      <c r="Q12" s="906">
        <f t="shared" si="4"/>
        <v>10487.394957983193</v>
      </c>
      <c r="R12" s="905">
        <f t="shared" si="6"/>
        <v>1992.6050420168067</v>
      </c>
      <c r="S12" s="135"/>
      <c r="T12" s="135"/>
      <c r="U12" s="1521"/>
      <c r="V12" s="1521"/>
      <c r="W12" s="1521"/>
      <c r="X12" s="100"/>
      <c r="Y12" s="106"/>
      <c r="Z12" s="259"/>
      <c r="AA12" s="260"/>
    </row>
    <row r="13" spans="2:27" s="261" customFormat="1" ht="33.6" customHeight="1">
      <c r="B13" s="1485" t="s">
        <v>435</v>
      </c>
      <c r="C13" s="1486"/>
      <c r="D13" s="1486"/>
      <c r="E13" s="1487"/>
      <c r="F13" s="903">
        <f>+'3-DONNEES DE BASE'!G20*'3-DONNEES DE BASE'!E22</f>
        <v>42400</v>
      </c>
      <c r="G13" s="955">
        <f>+'3-DONNEES DE BASE'!E35</f>
        <v>0.19</v>
      </c>
      <c r="H13" s="904">
        <f t="shared" si="5"/>
        <v>35630.252100840335</v>
      </c>
      <c r="I13" s="943">
        <f t="shared" si="0"/>
        <v>6769.7478991596654</v>
      </c>
      <c r="J13" s="903">
        <f>+F13*'3-DONNEES DE BASE'!E58</f>
        <v>0</v>
      </c>
      <c r="K13" s="904">
        <f t="shared" si="1"/>
        <v>0</v>
      </c>
      <c r="L13" s="905">
        <f t="shared" si="2"/>
        <v>0</v>
      </c>
      <c r="M13" s="956">
        <f>+F13*'3-DONNEES DE BASE'!E59</f>
        <v>16960</v>
      </c>
      <c r="N13" s="904">
        <f t="shared" si="3"/>
        <v>14252.100840336136</v>
      </c>
      <c r="O13" s="907">
        <f>+M13-N13</f>
        <v>2707.8991596638643</v>
      </c>
      <c r="P13" s="957">
        <f>+F13*'3-DONNEES DE BASE'!E60</f>
        <v>25440</v>
      </c>
      <c r="Q13" s="906">
        <f t="shared" si="4"/>
        <v>21378.151260504204</v>
      </c>
      <c r="R13" s="905">
        <f t="shared" si="6"/>
        <v>4061.8487394957956</v>
      </c>
      <c r="S13" s="135"/>
      <c r="T13" s="135"/>
      <c r="U13" s="1521"/>
      <c r="V13" s="1521"/>
      <c r="W13" s="1521"/>
      <c r="X13" s="100"/>
      <c r="Y13" s="106"/>
      <c r="Z13" s="259"/>
      <c r="AA13" s="260"/>
    </row>
    <row r="14" spans="2:27" s="116" customFormat="1" ht="27.6" customHeight="1">
      <c r="B14" s="1485" t="s">
        <v>436</v>
      </c>
      <c r="C14" s="1486"/>
      <c r="D14" s="1486"/>
      <c r="E14" s="1487"/>
      <c r="F14" s="903">
        <f>+'3-DONNEES DE BASE'!E23*('3-DONNEES DE BASE'!G20+'3-DONNEES DE BASE'!G20*'3-DONNEES DE BASE'!E21+'3-DONNEES DE BASE'!G20*'3-DONNEES DE BASE'!E22)</f>
        <v>85865.52</v>
      </c>
      <c r="G14" s="955">
        <f>+'3-DONNEES DE BASE'!E36</f>
        <v>0.13</v>
      </c>
      <c r="H14" s="904">
        <f t="shared" si="5"/>
        <v>75987.185840707971</v>
      </c>
      <c r="I14" s="943">
        <f t="shared" si="0"/>
        <v>9878.3341592920333</v>
      </c>
      <c r="J14" s="903">
        <f>+F14*'3-DONNEES DE BASE'!E46</f>
        <v>85865.52</v>
      </c>
      <c r="K14" s="904">
        <f t="shared" si="1"/>
        <v>75987.185840707971</v>
      </c>
      <c r="L14" s="905">
        <f t="shared" si="2"/>
        <v>9878.3341592920333</v>
      </c>
      <c r="M14" s="956">
        <f>+F14*'3-DONNEES DE BASE'!E47</f>
        <v>0</v>
      </c>
      <c r="N14" s="904">
        <f t="shared" si="3"/>
        <v>0</v>
      </c>
      <c r="O14" s="907">
        <f>+M14-N14</f>
        <v>0</v>
      </c>
      <c r="P14" s="957">
        <f>+F14*'3-DONNEES DE BASE'!E48</f>
        <v>0</v>
      </c>
      <c r="Q14" s="906">
        <f t="shared" si="4"/>
        <v>0</v>
      </c>
      <c r="R14" s="905">
        <f t="shared" si="6"/>
        <v>0</v>
      </c>
      <c r="S14" s="135"/>
      <c r="T14" s="135"/>
      <c r="U14" s="1521"/>
      <c r="V14" s="1521"/>
      <c r="W14" s="1521"/>
      <c r="X14" s="118"/>
      <c r="Y14" s="106"/>
      <c r="Z14" s="257"/>
    </row>
    <row r="15" spans="2:27" s="116" customFormat="1" ht="27" customHeight="1">
      <c r="B15" s="1505" t="s">
        <v>70</v>
      </c>
      <c r="C15" s="1506"/>
      <c r="D15" s="1506"/>
      <c r="E15" s="1506"/>
      <c r="F15" s="903">
        <f>+'3-DONNEES DE BASE'!E24*('9-Cout  projet avec et sans TVA'!F14+'9-Cout  projet avec et sans TVA'!F13+'9-Cout  projet avec et sans TVA'!F12+'9-Cout  projet avec et sans TVA'!F11)</f>
        <v>44579.948400000001</v>
      </c>
      <c r="G15" s="955">
        <f>+'3-DONNEES DE BASE'!E36</f>
        <v>0.13</v>
      </c>
      <c r="H15" s="904">
        <f t="shared" si="5"/>
        <v>39451.281769911511</v>
      </c>
      <c r="I15" s="943">
        <f t="shared" si="0"/>
        <v>5128.6666300884899</v>
      </c>
      <c r="J15" s="903">
        <f>+F15*'3-DONNEES DE BASE'!E62</f>
        <v>13373.98452</v>
      </c>
      <c r="K15" s="904">
        <f t="shared" si="1"/>
        <v>11835.384530973452</v>
      </c>
      <c r="L15" s="905">
        <f t="shared" si="2"/>
        <v>1538.5999890265484</v>
      </c>
      <c r="M15" s="906">
        <f>+F15*'3-DONNEES DE BASE'!E63</f>
        <v>26747.96904</v>
      </c>
      <c r="N15" s="904">
        <f t="shared" si="3"/>
        <v>23670.769061946903</v>
      </c>
      <c r="O15" s="907">
        <f>+M15-N15</f>
        <v>3077.1999780530969</v>
      </c>
      <c r="P15" s="903">
        <f>+F15*'3-DONNEES DE BASE'!E64</f>
        <v>4457.9948400000003</v>
      </c>
      <c r="Q15" s="906">
        <f t="shared" si="4"/>
        <v>3945.1281769911511</v>
      </c>
      <c r="R15" s="905">
        <f t="shared" si="6"/>
        <v>512.86666300884917</v>
      </c>
      <c r="S15" s="135"/>
      <c r="T15" s="135"/>
      <c r="U15" s="135"/>
      <c r="V15" s="276"/>
      <c r="W15" s="275"/>
      <c r="X15" s="275"/>
      <c r="Y15" s="275"/>
    </row>
    <row r="16" spans="2:27" s="962" customFormat="1" ht="26.1" customHeight="1" thickBot="1">
      <c r="B16" s="1488" t="s">
        <v>166</v>
      </c>
      <c r="C16" s="1489"/>
      <c r="D16" s="1489"/>
      <c r="E16" s="1490"/>
      <c r="F16" s="911">
        <f>+SUM(F9:F15)</f>
        <v>1233245.4684000001</v>
      </c>
      <c r="G16" s="909"/>
      <c r="H16" s="909">
        <f t="shared" ref="H16:R16" si="7">+SUM(H9:H15)</f>
        <v>1070900.652484569</v>
      </c>
      <c r="I16" s="910">
        <f t="shared" si="7"/>
        <v>162344.81591543093</v>
      </c>
      <c r="J16" s="911">
        <f t="shared" si="7"/>
        <v>297239.50452000002</v>
      </c>
      <c r="K16" s="909">
        <f t="shared" si="7"/>
        <v>282948.62079184951</v>
      </c>
      <c r="L16" s="910">
        <f t="shared" si="7"/>
        <v>14290.883728150513</v>
      </c>
      <c r="M16" s="948">
        <f t="shared" si="7"/>
        <v>733627.96904</v>
      </c>
      <c r="N16" s="948">
        <f t="shared" si="7"/>
        <v>617687.57578463608</v>
      </c>
      <c r="O16" s="958">
        <f t="shared" si="7"/>
        <v>115940.39325536398</v>
      </c>
      <c r="P16" s="911">
        <f t="shared" si="7"/>
        <v>202377.99484</v>
      </c>
      <c r="Q16" s="948">
        <f t="shared" si="7"/>
        <v>170264.45590808362</v>
      </c>
      <c r="R16" s="959">
        <f t="shared" si="7"/>
        <v>32113.538931916395</v>
      </c>
      <c r="S16" s="135"/>
      <c r="T16" s="135"/>
      <c r="U16" s="135"/>
      <c r="V16" s="960"/>
      <c r="W16" s="961"/>
      <c r="X16" s="961"/>
      <c r="Y16" s="961"/>
    </row>
    <row r="17" spans="2:25" s="54" customFormat="1" ht="13.5" thickBot="1">
      <c r="B17" s="64"/>
      <c r="C17" s="64"/>
      <c r="D17" s="64"/>
      <c r="E17" s="86"/>
      <c r="F17" s="108"/>
      <c r="G17" s="108"/>
      <c r="H17" s="109"/>
      <c r="I17" s="108"/>
      <c r="J17" s="109">
        <f>-J72020</f>
        <v>0</v>
      </c>
      <c r="K17" s="109"/>
      <c r="L17" s="109"/>
      <c r="M17" s="110"/>
      <c r="N17" s="110"/>
      <c r="O17" s="110"/>
      <c r="P17" s="110"/>
      <c r="Q17" s="110"/>
      <c r="R17" s="110"/>
      <c r="S17" s="110"/>
      <c r="T17" s="110"/>
      <c r="U17" s="110"/>
      <c r="V17" s="103"/>
      <c r="W17" s="101"/>
      <c r="X17" s="101"/>
      <c r="Y17" s="101"/>
    </row>
    <row r="18" spans="2:25" s="54" customFormat="1" ht="19.5">
      <c r="B18" s="1583" t="s">
        <v>313</v>
      </c>
      <c r="C18" s="1584"/>
      <c r="D18" s="1584"/>
      <c r="E18" s="1585"/>
      <c r="F18" s="842">
        <v>2020</v>
      </c>
      <c r="G18" s="842">
        <v>2021</v>
      </c>
      <c r="H18" s="843">
        <v>2022</v>
      </c>
      <c r="I18" s="108"/>
      <c r="J18" s="109"/>
      <c r="K18" s="109"/>
      <c r="L18" s="109"/>
      <c r="M18" s="272"/>
      <c r="N18" s="272"/>
      <c r="O18" s="272"/>
      <c r="P18" s="272"/>
      <c r="Q18" s="272"/>
      <c r="R18" s="272"/>
      <c r="S18" s="110"/>
      <c r="T18" s="110"/>
      <c r="U18" s="110"/>
      <c r="V18" s="103"/>
      <c r="W18" s="101"/>
      <c r="X18" s="101"/>
      <c r="Y18" s="101"/>
    </row>
    <row r="19" spans="2:25" s="54" customFormat="1" ht="13.5" thickBot="1">
      <c r="B19" s="344"/>
      <c r="C19" s="385"/>
      <c r="D19" s="344"/>
      <c r="E19" s="386"/>
      <c r="F19" s="844">
        <f>+(1+'3-DONNEES DE BASE'!E31)*(1+'3-DONNEES DE BASE'!E32)</f>
        <v>1.123551</v>
      </c>
      <c r="G19" s="844">
        <f>+F19*(1+'3-DONNEES DE BASE'!E32)</f>
        <v>1.1830992029999998</v>
      </c>
      <c r="H19" s="845">
        <f>+G19*(1+'3-DONNEES DE BASE'!E32)</f>
        <v>1.2458034607589998</v>
      </c>
      <c r="I19" s="108"/>
      <c r="J19" s="109"/>
      <c r="K19" s="109"/>
      <c r="L19" s="109"/>
      <c r="M19" s="272"/>
      <c r="N19" s="110"/>
      <c r="O19" s="110"/>
      <c r="P19" s="110"/>
      <c r="Q19" s="110"/>
      <c r="R19" s="110"/>
      <c r="S19" s="110"/>
      <c r="T19" s="110"/>
      <c r="U19" s="110"/>
      <c r="V19" s="103"/>
      <c r="W19" s="101"/>
      <c r="X19" s="101"/>
      <c r="Y19" s="101"/>
    </row>
    <row r="20" spans="2:25" s="54" customFormat="1">
      <c r="B20" s="64"/>
      <c r="C20" s="64"/>
      <c r="D20" s="64"/>
      <c r="E20" s="86"/>
      <c r="F20" s="108"/>
      <c r="G20" s="108"/>
      <c r="H20" s="109"/>
      <c r="I20" s="108"/>
      <c r="J20" s="109"/>
      <c r="K20" s="109"/>
      <c r="L20" s="109"/>
      <c r="M20" s="110"/>
      <c r="N20" s="272"/>
      <c r="O20" s="110"/>
      <c r="P20" s="110"/>
      <c r="Q20" s="110"/>
      <c r="R20" s="110"/>
      <c r="S20" s="110"/>
      <c r="T20" s="110"/>
      <c r="U20" s="110"/>
      <c r="V20" s="103"/>
      <c r="W20" s="101"/>
      <c r="X20" s="101"/>
      <c r="Y20" s="101"/>
    </row>
    <row r="21" spans="2:25" s="54" customFormat="1" ht="19.5">
      <c r="B21" s="1578" t="s">
        <v>173</v>
      </c>
      <c r="C21" s="1579"/>
      <c r="D21" s="1579"/>
      <c r="E21" s="1579"/>
      <c r="F21" s="1579"/>
      <c r="G21" s="1579"/>
      <c r="H21" s="1579"/>
      <c r="I21" s="1579"/>
      <c r="J21" s="1579"/>
      <c r="K21" s="1580"/>
      <c r="L21" s="109"/>
      <c r="M21" s="110"/>
      <c r="N21" s="110"/>
      <c r="O21" s="110"/>
      <c r="P21" s="110"/>
      <c r="Q21" s="110"/>
      <c r="R21" s="110"/>
      <c r="S21" s="110"/>
      <c r="T21" s="110"/>
      <c r="U21" s="110"/>
      <c r="V21" s="103"/>
      <c r="W21" s="101"/>
      <c r="X21" s="101"/>
      <c r="Y21" s="101"/>
    </row>
    <row r="22" spans="2:25" s="54" customFormat="1">
      <c r="B22" s="64"/>
      <c r="C22" s="64"/>
      <c r="D22" s="64"/>
      <c r="E22" s="86"/>
      <c r="F22" s="108"/>
      <c r="G22" s="108"/>
      <c r="H22" s="109"/>
      <c r="I22" s="108"/>
      <c r="J22" s="109"/>
      <c r="K22" s="109"/>
      <c r="L22" s="109"/>
      <c r="M22" s="110"/>
      <c r="N22" s="110"/>
      <c r="O22" s="110"/>
      <c r="P22" s="110"/>
      <c r="Q22" s="110"/>
      <c r="R22" s="110"/>
      <c r="S22" s="110"/>
      <c r="T22" s="110"/>
      <c r="U22" s="110"/>
      <c r="V22" s="103"/>
      <c r="W22" s="101"/>
      <c r="X22" s="101"/>
      <c r="Y22" s="101"/>
    </row>
    <row r="23" spans="2:25" s="54" customFormat="1" ht="13.5" thickBot="1">
      <c r="B23" s="59"/>
      <c r="C23" s="59"/>
      <c r="D23" s="59"/>
      <c r="E23" s="103"/>
      <c r="F23" s="60"/>
      <c r="G23" s="60"/>
      <c r="H23" s="61"/>
      <c r="I23" s="60"/>
      <c r="J23" s="61"/>
      <c r="K23" s="103"/>
      <c r="L23" s="119"/>
      <c r="M23" s="101"/>
      <c r="N23" s="101"/>
      <c r="O23" s="101"/>
      <c r="P23" s="101"/>
      <c r="Q23" s="101"/>
      <c r="R23" s="101"/>
      <c r="S23" s="103"/>
      <c r="T23" s="103"/>
      <c r="U23" s="103"/>
      <c r="V23" s="103"/>
      <c r="W23" s="101"/>
      <c r="X23" s="101"/>
      <c r="Y23" s="101"/>
    </row>
    <row r="24" spans="2:25" s="233" customFormat="1" ht="42" customHeight="1">
      <c r="B24" s="1571" t="s">
        <v>95</v>
      </c>
      <c r="C24" s="1572"/>
      <c r="D24" s="1572"/>
      <c r="E24" s="1572"/>
      <c r="F24" s="1569" t="s">
        <v>159</v>
      </c>
      <c r="G24" s="1470" t="s">
        <v>181</v>
      </c>
      <c r="H24" s="1471"/>
      <c r="I24" s="1472"/>
      <c r="J24" s="1473" t="s">
        <v>71</v>
      </c>
      <c r="K24" s="1474"/>
      <c r="L24" s="1475"/>
      <c r="M24" s="1476" t="s">
        <v>160</v>
      </c>
      <c r="N24" s="1477"/>
      <c r="O24" s="1478"/>
      <c r="P24" s="1347" t="s">
        <v>183</v>
      </c>
      <c r="Q24" s="1348"/>
      <c r="R24" s="1547"/>
      <c r="S24" s="1347" t="s">
        <v>165</v>
      </c>
      <c r="T24" s="1348"/>
      <c r="U24" s="1348"/>
      <c r="V24" s="1547"/>
      <c r="W24" s="39"/>
      <c r="X24" s="39"/>
      <c r="Y24" s="234"/>
    </row>
    <row r="25" spans="2:25" s="233" customFormat="1" ht="47.1" customHeight="1" thickBot="1">
      <c r="B25" s="1573"/>
      <c r="C25" s="1574"/>
      <c r="D25" s="1574"/>
      <c r="E25" s="1574"/>
      <c r="F25" s="1570"/>
      <c r="G25" s="846">
        <v>2020</v>
      </c>
      <c r="H25" s="847">
        <f>+G25+1</f>
        <v>2021</v>
      </c>
      <c r="I25" s="848">
        <f>+H25+1</f>
        <v>2022</v>
      </c>
      <c r="J25" s="846">
        <v>2020</v>
      </c>
      <c r="K25" s="847">
        <f>+J25+1</f>
        <v>2021</v>
      </c>
      <c r="L25" s="848">
        <f>+K25+1</f>
        <v>2022</v>
      </c>
      <c r="M25" s="846">
        <v>2020</v>
      </c>
      <c r="N25" s="847">
        <f>+M25+1</f>
        <v>2021</v>
      </c>
      <c r="O25" s="908">
        <f>+N25+1</f>
        <v>2022</v>
      </c>
      <c r="P25" s="846">
        <v>2020</v>
      </c>
      <c r="Q25" s="847">
        <f>+P25+1</f>
        <v>2021</v>
      </c>
      <c r="R25" s="848">
        <f>+Q25+1</f>
        <v>2022</v>
      </c>
      <c r="S25" s="930" t="s">
        <v>96</v>
      </c>
      <c r="T25" s="931" t="s">
        <v>71</v>
      </c>
      <c r="U25" s="931" t="s">
        <v>106</v>
      </c>
      <c r="V25" s="912" t="s">
        <v>175</v>
      </c>
      <c r="W25" s="234"/>
      <c r="X25" s="234"/>
      <c r="Y25" s="234"/>
    </row>
    <row r="26" spans="2:25" s="233" customFormat="1" ht="20.100000000000001" customHeight="1">
      <c r="B26" s="1575" t="s">
        <v>66</v>
      </c>
      <c r="C26" s="1576"/>
      <c r="D26" s="1576"/>
      <c r="E26" s="1577"/>
      <c r="F26" s="932">
        <f>+'3-DONNEES DE BASE'!G15*'3-DONNEES DE BASE'!K14</f>
        <v>180000</v>
      </c>
      <c r="G26" s="933">
        <f>+F26</f>
        <v>180000</v>
      </c>
      <c r="H26" s="934">
        <f>+F26*'3-DONNEES DE BASE'!E43</f>
        <v>0</v>
      </c>
      <c r="I26" s="937">
        <f>+F26*'3-DONNEES DE BASE'!E44</f>
        <v>0</v>
      </c>
      <c r="J26" s="935">
        <f>+G26*'3-DONNEES DE BASE'!E30</f>
        <v>0</v>
      </c>
      <c r="K26" s="936">
        <f>+H26*'3-DONNEES DE BASE'!E30</f>
        <v>0</v>
      </c>
      <c r="L26" s="937">
        <f>+I26*'3-DONNEES DE BASE'!E30</f>
        <v>0</v>
      </c>
      <c r="M26" s="935">
        <f>+(G26+J26)*(F19-1)</f>
        <v>22239.179999999993</v>
      </c>
      <c r="N26" s="934">
        <f>+(H26+K26)*(G19-1)</f>
        <v>0</v>
      </c>
      <c r="O26" s="938">
        <f>+(I26+L26)*(H19-1)</f>
        <v>0</v>
      </c>
      <c r="P26" s="935">
        <f>+M26+J26+G26</f>
        <v>202239.18</v>
      </c>
      <c r="Q26" s="934">
        <f>+N26+K26+H26</f>
        <v>0</v>
      </c>
      <c r="R26" s="937">
        <f>+O26+L26+I26</f>
        <v>0</v>
      </c>
      <c r="S26" s="935">
        <f>+F26</f>
        <v>180000</v>
      </c>
      <c r="T26" s="934">
        <f>+L26+K26+J26</f>
        <v>0</v>
      </c>
      <c r="U26" s="934">
        <f>+O26+N26+M26</f>
        <v>22239.179999999993</v>
      </c>
      <c r="V26" s="939">
        <f>+R26+Q26+P26</f>
        <v>202239.18</v>
      </c>
      <c r="W26" s="234"/>
      <c r="X26" s="234"/>
      <c r="Y26" s="234"/>
    </row>
    <row r="27" spans="2:25" s="233" customFormat="1" ht="25.5" customHeight="1">
      <c r="B27" s="1540" t="s">
        <v>63</v>
      </c>
      <c r="C27" s="1541"/>
      <c r="D27" s="1541"/>
      <c r="E27" s="1542"/>
      <c r="F27" s="940">
        <f>+'3-DONNEES DE BASE'!E19*'3-DONNEES DE BASE'!G15*'3-DONNEES DE BASE'!K14</f>
        <v>18000</v>
      </c>
      <c r="G27" s="941">
        <f>+F27*'3-DONNEES DE BASE'!E42</f>
        <v>18000</v>
      </c>
      <c r="H27" s="993">
        <f>+F27*'3-DONNEES DE BASE'!E43</f>
        <v>0</v>
      </c>
      <c r="I27" s="943">
        <f>+F27*'3-DONNEES DE BASE'!E44</f>
        <v>0</v>
      </c>
      <c r="J27" s="903">
        <f>+G27*'3-DONNEES DE BASE'!E30</f>
        <v>0</v>
      </c>
      <c r="K27" s="942">
        <f>+H27*'3-DONNEES DE BASE'!E30</f>
        <v>0</v>
      </c>
      <c r="L27" s="943">
        <f>+I27*'3-DONNEES DE BASE'!E30</f>
        <v>0</v>
      </c>
      <c r="M27" s="903">
        <f>+(G27+J27)*(F19-1)</f>
        <v>2223.9179999999992</v>
      </c>
      <c r="N27" s="904">
        <f>+(H27+K27)*(G19-1)</f>
        <v>0</v>
      </c>
      <c r="O27" s="944">
        <f>+(I27+L27)*(H19-1)</f>
        <v>0</v>
      </c>
      <c r="P27" s="903">
        <f t="shared" ref="P27:P32" si="8">+M27+J27+G27</f>
        <v>20223.917999999998</v>
      </c>
      <c r="Q27" s="904">
        <f t="shared" ref="Q27:Q32" si="9">+N27+K27+H27</f>
        <v>0</v>
      </c>
      <c r="R27" s="943">
        <f t="shared" ref="R27:R32" si="10">+O27+L27+I27</f>
        <v>0</v>
      </c>
      <c r="S27" s="903">
        <f t="shared" ref="S27:S32" si="11">+F27</f>
        <v>18000</v>
      </c>
      <c r="T27" s="904">
        <f>+L27+K27+J27</f>
        <v>0</v>
      </c>
      <c r="U27" s="904">
        <f t="shared" ref="U27:U32" si="12">+O27+N27+M27</f>
        <v>2223.9179999999992</v>
      </c>
      <c r="V27" s="905">
        <f t="shared" ref="V27:V32" si="13">+R27+Q27+P27</f>
        <v>20223.917999999998</v>
      </c>
      <c r="W27" s="234"/>
      <c r="X27" s="234"/>
      <c r="Y27" s="234"/>
    </row>
    <row r="28" spans="2:25" s="233" customFormat="1" ht="42.95" customHeight="1">
      <c r="B28" s="1485" t="s">
        <v>433</v>
      </c>
      <c r="C28" s="1486"/>
      <c r="D28" s="1486"/>
      <c r="E28" s="1487"/>
      <c r="F28" s="945">
        <f>+'3-DONNEES DE BASE'!G20</f>
        <v>800000</v>
      </c>
      <c r="G28" s="941">
        <f>+F28*'3-DONNEES DE BASE'!E50</f>
        <v>0</v>
      </c>
      <c r="H28" s="993">
        <f>+F28*'3-DONNEES DE BASE'!E51</f>
        <v>640000</v>
      </c>
      <c r="I28" s="943">
        <f>+F28*'3-DONNEES DE BASE'!E52</f>
        <v>160000</v>
      </c>
      <c r="J28" s="903">
        <f>+F28*'3-DONNEES DE BASE'!E27*'3-DONNEES DE BASE'!E50</f>
        <v>0</v>
      </c>
      <c r="K28" s="904">
        <f>+F28*'3-DONNEES DE BASE'!E51*'3-DONNEES DE BASE'!E27</f>
        <v>57600</v>
      </c>
      <c r="L28" s="943">
        <f>+F28*'3-DONNEES DE BASE'!E52*'3-DONNEES DE BASE'!E27</f>
        <v>14400</v>
      </c>
      <c r="M28" s="903">
        <f>+(G28+J28)*(F19-1)</f>
        <v>0</v>
      </c>
      <c r="N28" s="904">
        <f>+(H28+K28)*(G19-1)</f>
        <v>127730.00401279988</v>
      </c>
      <c r="O28" s="907">
        <f>+(L28+I28)*(H19-1)</f>
        <v>42868.123556369574</v>
      </c>
      <c r="P28" s="903">
        <f t="shared" si="8"/>
        <v>0</v>
      </c>
      <c r="Q28" s="904">
        <f t="shared" si="9"/>
        <v>825330.00401279982</v>
      </c>
      <c r="R28" s="943">
        <f t="shared" si="10"/>
        <v>217268.12355636957</v>
      </c>
      <c r="S28" s="903">
        <f t="shared" si="11"/>
        <v>800000</v>
      </c>
      <c r="T28" s="904">
        <f>+L28+K28+J28</f>
        <v>72000</v>
      </c>
      <c r="U28" s="904">
        <f t="shared" si="12"/>
        <v>170598.12756916945</v>
      </c>
      <c r="V28" s="905">
        <f t="shared" si="13"/>
        <v>1042598.1275691694</v>
      </c>
      <c r="W28" s="234"/>
      <c r="X28" s="234"/>
      <c r="Y28" s="234"/>
    </row>
    <row r="29" spans="2:25" s="233" customFormat="1" ht="56.1" customHeight="1">
      <c r="B29" s="1485" t="s">
        <v>434</v>
      </c>
      <c r="C29" s="1486"/>
      <c r="D29" s="1486"/>
      <c r="E29" s="1487"/>
      <c r="F29" s="940">
        <f>+'3-DONNEES DE BASE'!G20*'3-DONNEES DE BASE'!E21</f>
        <v>62400</v>
      </c>
      <c r="G29" s="941">
        <f>+F29*'3-DONNEES DE BASE'!E54</f>
        <v>0</v>
      </c>
      <c r="H29" s="993">
        <f>+F29*'3-DONNEES DE BASE'!E55</f>
        <v>49920</v>
      </c>
      <c r="I29" s="943">
        <f>+F29*'3-DONNEES DE BASE'!E56</f>
        <v>12480</v>
      </c>
      <c r="J29" s="903">
        <f>+F29*'3-DONNEES DE BASE'!E28*'3-DONNEES DE BASE'!E54</f>
        <v>0</v>
      </c>
      <c r="K29" s="942">
        <f>+F29*'3-DONNEES DE BASE'!E28*'3-DONNEES DE BASE'!E55</f>
        <v>2496</v>
      </c>
      <c r="L29" s="943">
        <f>+F29*'3-DONNEES DE BASE'!E28*'3-DONNEES DE BASE'!E56</f>
        <v>624</v>
      </c>
      <c r="M29" s="903">
        <f>+(G29+J29)*(F19-1)</f>
        <v>0</v>
      </c>
      <c r="N29" s="904">
        <f>+(H29+K29)*(G19-1)</f>
        <v>9597.3278244479898</v>
      </c>
      <c r="O29" s="907">
        <f>+(L29+I29)*(H19-1)</f>
        <v>3221.0085497859341</v>
      </c>
      <c r="P29" s="903">
        <f t="shared" si="8"/>
        <v>0</v>
      </c>
      <c r="Q29" s="904">
        <f t="shared" si="9"/>
        <v>62013.327824447988</v>
      </c>
      <c r="R29" s="943">
        <f t="shared" si="10"/>
        <v>16325.008549785935</v>
      </c>
      <c r="S29" s="903">
        <f t="shared" si="11"/>
        <v>62400</v>
      </c>
      <c r="T29" s="904">
        <f>+L29+K29+J29</f>
        <v>3120</v>
      </c>
      <c r="U29" s="904">
        <f t="shared" si="12"/>
        <v>12818.336374233924</v>
      </c>
      <c r="V29" s="905">
        <f t="shared" si="13"/>
        <v>78338.336374233928</v>
      </c>
      <c r="W29" s="234"/>
      <c r="X29" s="234"/>
      <c r="Y29" s="234"/>
    </row>
    <row r="30" spans="2:25" s="233" customFormat="1" ht="23.45" customHeight="1">
      <c r="B30" s="1505" t="s">
        <v>435</v>
      </c>
      <c r="C30" s="1506"/>
      <c r="D30" s="1506"/>
      <c r="E30" s="1507"/>
      <c r="F30" s="940">
        <f>+'3-DONNEES DE BASE'!E22*'3-DONNEES DE BASE'!G20</f>
        <v>42400</v>
      </c>
      <c r="G30" s="941">
        <f>+F30*'3-DONNEES DE BASE'!E58</f>
        <v>0</v>
      </c>
      <c r="H30" s="993">
        <f>+F30*'3-DONNEES DE BASE'!E59</f>
        <v>16960</v>
      </c>
      <c r="I30" s="943">
        <f>+F30*'3-DONNEES DE BASE'!E60</f>
        <v>25440</v>
      </c>
      <c r="J30" s="903">
        <f>+F30*'3-DONNEES DE BASE'!E29*'3-DONNEES DE BASE'!E58</f>
        <v>0</v>
      </c>
      <c r="K30" s="942">
        <f>+F30*'3-DONNEES DE BASE'!E59*'3-DONNEES DE BASE'!E29</f>
        <v>848</v>
      </c>
      <c r="L30" s="943">
        <f>+F30*'3-DONNEES DE BASE'!E60*'3-DONNEES DE BASE'!E29</f>
        <v>1272</v>
      </c>
      <c r="M30" s="903">
        <f>+(G30+J30)*(F19-1)</f>
        <v>0</v>
      </c>
      <c r="N30" s="904">
        <f>+(H30+K30)*(G19-1)</f>
        <v>3260.6306070239966</v>
      </c>
      <c r="O30" s="907">
        <f>+(L30+I30)*(H19-1)</f>
        <v>6565.9020437944037</v>
      </c>
      <c r="P30" s="903">
        <f t="shared" si="8"/>
        <v>0</v>
      </c>
      <c r="Q30" s="904">
        <f t="shared" si="9"/>
        <v>21068.630607023995</v>
      </c>
      <c r="R30" s="943">
        <f t="shared" si="10"/>
        <v>33277.902043794405</v>
      </c>
      <c r="S30" s="903">
        <f t="shared" si="11"/>
        <v>42400</v>
      </c>
      <c r="T30" s="904">
        <f>+L30+K30+J30</f>
        <v>2120</v>
      </c>
      <c r="U30" s="904">
        <f t="shared" si="12"/>
        <v>9826.5326508184007</v>
      </c>
      <c r="V30" s="905">
        <f t="shared" si="13"/>
        <v>54346.532650818401</v>
      </c>
      <c r="W30" s="234"/>
      <c r="X30" s="234"/>
      <c r="Y30" s="234"/>
    </row>
    <row r="31" spans="2:25" s="233" customFormat="1" ht="35.1" customHeight="1">
      <c r="B31" s="1479" t="s">
        <v>436</v>
      </c>
      <c r="C31" s="1480"/>
      <c r="D31" s="1480"/>
      <c r="E31" s="1481"/>
      <c r="F31" s="940">
        <f>+'3-DONNEES DE BASE'!E23*('3-DONNEES DE BASE'!G20+'3-DONNEES DE BASE'!G20*'3-DONNEES DE BASE'!E21+'3-DONNEES DE BASE'!G20*'3-DONNEES DE BASE'!E22)</f>
        <v>85865.52</v>
      </c>
      <c r="G31" s="941">
        <f>+F31*'3-DONNEES DE BASE'!E46</f>
        <v>85865.52</v>
      </c>
      <c r="H31" s="993">
        <f>+G31*'3-DONNEES DE BASE'!E47</f>
        <v>0</v>
      </c>
      <c r="I31" s="943">
        <f>+F31*'3-DONNEES DE BASE'!E48</f>
        <v>0</v>
      </c>
      <c r="J31" s="903">
        <f>+G31*'3-DONNEES DE BASE'!E30</f>
        <v>0</v>
      </c>
      <c r="K31" s="942">
        <f>+H31*'3-DONNEES DE BASE'!E30</f>
        <v>0</v>
      </c>
      <c r="L31" s="943">
        <f>+I31*'3-DONNEES DE BASE'!E30</f>
        <v>0</v>
      </c>
      <c r="M31" s="903">
        <f>+(G31+J31)*(F19-1)</f>
        <v>10608.770861519997</v>
      </c>
      <c r="N31" s="904">
        <f>+(H31+K31)*(G19-1)</f>
        <v>0</v>
      </c>
      <c r="O31" s="907">
        <f>+(L31+I31)*(H19-1)</f>
        <v>0</v>
      </c>
      <c r="P31" s="903">
        <f t="shared" si="8"/>
        <v>96474.290861519999</v>
      </c>
      <c r="Q31" s="904">
        <f t="shared" si="9"/>
        <v>0</v>
      </c>
      <c r="R31" s="943">
        <f t="shared" si="10"/>
        <v>0</v>
      </c>
      <c r="S31" s="903">
        <f t="shared" si="11"/>
        <v>85865.52</v>
      </c>
      <c r="T31" s="904">
        <v>0</v>
      </c>
      <c r="U31" s="904">
        <f t="shared" si="12"/>
        <v>10608.770861519997</v>
      </c>
      <c r="V31" s="905">
        <f t="shared" si="13"/>
        <v>96474.290861519999</v>
      </c>
      <c r="W31" s="234"/>
      <c r="X31" s="234"/>
      <c r="Y31" s="234"/>
    </row>
    <row r="32" spans="2:25" s="233" customFormat="1" ht="21" customHeight="1">
      <c r="B32" s="1505" t="s">
        <v>70</v>
      </c>
      <c r="C32" s="1506"/>
      <c r="D32" s="1506"/>
      <c r="E32" s="1507"/>
      <c r="F32" s="940">
        <f>+'3-DONNEES DE BASE'!E24*('9-Cout  projet avec et sans TVA'!F31+'9-Cout  projet avec et sans TVA'!F30+'9-Cout  projet avec et sans TVA'!F29+'9-Cout  projet avec et sans TVA'!F28)</f>
        <v>44579.948400000001</v>
      </c>
      <c r="G32" s="941">
        <f>+F32*'3-DONNEES DE BASE'!E62</f>
        <v>13373.98452</v>
      </c>
      <c r="H32" s="993">
        <f>+F32*'3-DONNEES DE BASE'!E63</f>
        <v>26747.96904</v>
      </c>
      <c r="I32" s="943">
        <f>+F32*'3-DONNEES DE BASE'!E64</f>
        <v>4457.9948400000003</v>
      </c>
      <c r="J32" s="903">
        <f>+G32*'3-DONNEES DE BASE'!E30</f>
        <v>0</v>
      </c>
      <c r="K32" s="942">
        <f>+H32*'3-DONNEES DE BASE'!E30</f>
        <v>0</v>
      </c>
      <c r="L32" s="943">
        <f>+I32*'3-DONNEES DE BASE'!E30</f>
        <v>0</v>
      </c>
      <c r="M32" s="903">
        <f>+(G32+J32)*(F19-1)</f>
        <v>1652.3691614305196</v>
      </c>
      <c r="N32" s="904">
        <f>+(H32+K32)*(G19-1)</f>
        <v>4897.5318130926707</v>
      </c>
      <c r="O32" s="907">
        <f>+(L32+I32)*(H19-1)</f>
        <v>1095.7905597177639</v>
      </c>
      <c r="P32" s="903">
        <f t="shared" si="8"/>
        <v>15026.353681430519</v>
      </c>
      <c r="Q32" s="904">
        <f t="shared" si="9"/>
        <v>31645.500853092672</v>
      </c>
      <c r="R32" s="943">
        <f t="shared" si="10"/>
        <v>5553.7853997177644</v>
      </c>
      <c r="S32" s="903">
        <f t="shared" si="11"/>
        <v>44579.948400000001</v>
      </c>
      <c r="T32" s="904">
        <v>0</v>
      </c>
      <c r="U32" s="904">
        <f t="shared" si="12"/>
        <v>7645.6915342409548</v>
      </c>
      <c r="V32" s="905">
        <f t="shared" si="13"/>
        <v>52225.639934240957</v>
      </c>
      <c r="W32" s="234"/>
      <c r="X32" s="234"/>
      <c r="Y32" s="234"/>
    </row>
    <row r="33" spans="2:25" s="171" customFormat="1" ht="33.6" customHeight="1" thickBot="1">
      <c r="B33" s="1566" t="s">
        <v>68</v>
      </c>
      <c r="C33" s="1567"/>
      <c r="D33" s="1567"/>
      <c r="E33" s="1568"/>
      <c r="F33" s="946">
        <f t="shared" ref="F33:V33" si="14">+SUM(F26:F32)</f>
        <v>1233245.4684000001</v>
      </c>
      <c r="G33" s="909">
        <f t="shared" si="14"/>
        <v>297239.50452000002</v>
      </c>
      <c r="H33" s="909">
        <f t="shared" si="14"/>
        <v>733627.96904</v>
      </c>
      <c r="I33" s="910">
        <f t="shared" si="14"/>
        <v>202377.99484</v>
      </c>
      <c r="J33" s="911">
        <f t="shared" si="14"/>
        <v>0</v>
      </c>
      <c r="K33" s="909">
        <f t="shared" si="14"/>
        <v>60944</v>
      </c>
      <c r="L33" s="910">
        <f t="shared" si="14"/>
        <v>16296</v>
      </c>
      <c r="M33" s="911">
        <f t="shared" si="14"/>
        <v>36724.238022950507</v>
      </c>
      <c r="N33" s="909">
        <f t="shared" si="14"/>
        <v>145485.49425736457</v>
      </c>
      <c r="O33" s="927">
        <f t="shared" si="14"/>
        <v>53750.824709667679</v>
      </c>
      <c r="P33" s="946">
        <f t="shared" si="14"/>
        <v>333963.74254295049</v>
      </c>
      <c r="Q33" s="927">
        <f t="shared" si="14"/>
        <v>940057.46329736442</v>
      </c>
      <c r="R33" s="910">
        <f t="shared" si="14"/>
        <v>272424.81954966765</v>
      </c>
      <c r="S33" s="911">
        <f t="shared" si="14"/>
        <v>1233245.4684000001</v>
      </c>
      <c r="T33" s="909">
        <f t="shared" si="14"/>
        <v>77240</v>
      </c>
      <c r="U33" s="909">
        <f t="shared" si="14"/>
        <v>235960.55698998272</v>
      </c>
      <c r="V33" s="910">
        <f t="shared" si="14"/>
        <v>1546446.0253899829</v>
      </c>
      <c r="W33" s="947"/>
      <c r="X33" s="947"/>
      <c r="Y33" s="947"/>
    </row>
    <row r="34" spans="2:25" s="54" customFormat="1" ht="13.5" customHeight="1">
      <c r="B34" s="85"/>
      <c r="C34" s="85"/>
      <c r="D34" s="85"/>
      <c r="E34" s="85"/>
      <c r="F34" s="61"/>
      <c r="G34" s="184"/>
      <c r="H34" s="184"/>
      <c r="I34" s="184"/>
      <c r="J34" s="184"/>
      <c r="K34" s="184"/>
      <c r="L34" s="184"/>
      <c r="M34" s="184"/>
      <c r="N34" s="184"/>
      <c r="O34" s="184"/>
      <c r="P34" s="184"/>
      <c r="Q34" s="184"/>
      <c r="R34" s="184"/>
      <c r="S34" s="61"/>
      <c r="T34" s="61"/>
      <c r="U34" s="61"/>
      <c r="V34" s="61"/>
      <c r="W34" s="101"/>
      <c r="X34" s="101"/>
      <c r="Y34" s="101"/>
    </row>
    <row r="35" spans="2:25" s="54" customFormat="1" ht="13.5" customHeight="1">
      <c r="B35" s="85"/>
      <c r="C35" s="85"/>
      <c r="D35" s="85"/>
      <c r="E35" s="85"/>
      <c r="F35" s="61"/>
      <c r="G35" s="184"/>
      <c r="H35" s="184"/>
      <c r="I35" s="184"/>
      <c r="J35" s="184"/>
      <c r="K35" s="184"/>
      <c r="L35" s="184"/>
      <c r="M35" s="184"/>
      <c r="N35" s="184"/>
      <c r="O35" s="184"/>
      <c r="P35" s="184"/>
      <c r="Q35" s="184"/>
      <c r="R35" s="184"/>
      <c r="S35" s="61"/>
      <c r="T35" s="61"/>
      <c r="U35" s="61"/>
      <c r="V35" s="61"/>
      <c r="W35" s="101"/>
      <c r="X35" s="101"/>
      <c r="Y35" s="101"/>
    </row>
    <row r="36" spans="2:25" s="233" customFormat="1" ht="24" customHeight="1">
      <c r="B36" s="1581" t="s">
        <v>157</v>
      </c>
      <c r="C36" s="1582"/>
      <c r="D36" s="1582"/>
      <c r="E36" s="1582"/>
      <c r="F36" s="1582"/>
      <c r="G36" s="1582"/>
      <c r="H36" s="1582"/>
      <c r="I36" s="1582"/>
      <c r="J36" s="1582"/>
      <c r="K36" s="1582"/>
      <c r="L36" s="135"/>
      <c r="M36" s="135"/>
      <c r="N36" s="135"/>
      <c r="O36" s="135"/>
      <c r="P36" s="135"/>
      <c r="Q36" s="135"/>
      <c r="R36" s="135"/>
      <c r="S36" s="274"/>
      <c r="T36" s="274"/>
      <c r="U36" s="274"/>
      <c r="V36" s="274"/>
      <c r="W36" s="234"/>
      <c r="X36" s="234"/>
      <c r="Y36" s="234"/>
    </row>
    <row r="37" spans="2:25" s="54" customFormat="1" ht="13.5" customHeight="1">
      <c r="B37" s="85"/>
      <c r="C37" s="85"/>
      <c r="D37" s="85"/>
      <c r="E37" s="85"/>
      <c r="F37" s="61"/>
      <c r="G37" s="184"/>
      <c r="H37" s="184"/>
      <c r="I37" s="184"/>
      <c r="J37" s="184"/>
      <c r="K37" s="184"/>
      <c r="L37" s="184"/>
      <c r="M37" s="184"/>
      <c r="N37" s="184"/>
      <c r="O37" s="184"/>
      <c r="P37" s="184"/>
      <c r="Q37" s="184"/>
      <c r="R37" s="184"/>
      <c r="S37" s="61"/>
      <c r="T37" s="61"/>
      <c r="U37" s="61"/>
      <c r="V37" s="61"/>
      <c r="W37" s="101"/>
      <c r="X37" s="101"/>
      <c r="Y37" s="101"/>
    </row>
    <row r="38" spans="2:25" s="54" customFormat="1" ht="13.5" customHeight="1" thickBot="1">
      <c r="B38" s="85"/>
      <c r="C38" s="85"/>
      <c r="D38" s="85"/>
      <c r="E38" s="85"/>
      <c r="F38" s="61"/>
      <c r="G38" s="184"/>
      <c r="H38" s="184"/>
      <c r="I38" s="184"/>
      <c r="J38" s="184"/>
      <c r="K38" s="184"/>
      <c r="L38" s="184"/>
      <c r="M38" s="184"/>
      <c r="N38" s="184"/>
      <c r="O38" s="184"/>
      <c r="P38" s="184"/>
      <c r="Q38" s="184"/>
      <c r="R38" s="184"/>
      <c r="S38" s="61"/>
      <c r="T38" s="61"/>
      <c r="U38" s="61"/>
      <c r="V38" s="61"/>
      <c r="W38" s="101"/>
      <c r="X38" s="101"/>
      <c r="Y38" s="101"/>
    </row>
    <row r="39" spans="2:25" s="233" customFormat="1" ht="56.1" customHeight="1">
      <c r="B39" s="1499" t="s">
        <v>95</v>
      </c>
      <c r="C39" s="1500"/>
      <c r="D39" s="1500"/>
      <c r="E39" s="1501"/>
      <c r="F39" s="1494" t="s">
        <v>158</v>
      </c>
      <c r="G39" s="1491" t="s">
        <v>182</v>
      </c>
      <c r="H39" s="1491"/>
      <c r="I39" s="1492"/>
      <c r="J39" s="1493" t="s">
        <v>71</v>
      </c>
      <c r="K39" s="1491"/>
      <c r="L39" s="1492"/>
      <c r="M39" s="1493" t="s">
        <v>161</v>
      </c>
      <c r="N39" s="1491"/>
      <c r="O39" s="1492"/>
      <c r="P39" s="1543" t="s">
        <v>184</v>
      </c>
      <c r="Q39" s="1544"/>
      <c r="R39" s="1545"/>
      <c r="S39" s="1546" t="s">
        <v>164</v>
      </c>
      <c r="T39" s="1474"/>
      <c r="U39" s="1474"/>
      <c r="V39" s="1475"/>
      <c r="W39" s="234"/>
      <c r="X39" s="234"/>
      <c r="Y39" s="234"/>
    </row>
    <row r="40" spans="2:25" s="233" customFormat="1" ht="47.45" customHeight="1" thickBot="1">
      <c r="B40" s="1502"/>
      <c r="C40" s="1503"/>
      <c r="D40" s="1503"/>
      <c r="E40" s="1504"/>
      <c r="F40" s="1495"/>
      <c r="G40" s="909">
        <v>2020</v>
      </c>
      <c r="H40" s="909">
        <f>+G40+1</f>
        <v>2021</v>
      </c>
      <c r="I40" s="910">
        <f>+H40+1</f>
        <v>2022</v>
      </c>
      <c r="J40" s="911">
        <v>2020</v>
      </c>
      <c r="K40" s="909">
        <f>+J40+1</f>
        <v>2021</v>
      </c>
      <c r="L40" s="910">
        <f>+K40+1</f>
        <v>2022</v>
      </c>
      <c r="M40" s="911">
        <v>2020</v>
      </c>
      <c r="N40" s="909">
        <f>+M40+1</f>
        <v>2021</v>
      </c>
      <c r="O40" s="910">
        <f>+N40+1</f>
        <v>2022</v>
      </c>
      <c r="P40" s="911">
        <v>2020</v>
      </c>
      <c r="Q40" s="909">
        <f>+P40+1</f>
        <v>2021</v>
      </c>
      <c r="R40" s="910">
        <f>+Q40+1</f>
        <v>2022</v>
      </c>
      <c r="S40" s="433" t="s">
        <v>69</v>
      </c>
      <c r="T40" s="280" t="s">
        <v>71</v>
      </c>
      <c r="U40" s="280" t="s">
        <v>162</v>
      </c>
      <c r="V40" s="912" t="s">
        <v>163</v>
      </c>
      <c r="W40" s="234"/>
      <c r="X40" s="234"/>
      <c r="Y40" s="234"/>
    </row>
    <row r="41" spans="2:25" s="54" customFormat="1" ht="23.1" customHeight="1">
      <c r="B41" s="1496" t="s">
        <v>66</v>
      </c>
      <c r="C41" s="1497"/>
      <c r="D41" s="1497"/>
      <c r="E41" s="1498"/>
      <c r="F41" s="913">
        <f>+'3-DONNEES DE BASE'!G15*'3-DONNEES DE BASE'!K14</f>
        <v>180000</v>
      </c>
      <c r="G41" s="914">
        <f>+F41*'3-DONNEES DE BASE'!E42</f>
        <v>180000</v>
      </c>
      <c r="H41" s="914">
        <f>+F41*'3-DONNEES DE BASE'!E43</f>
        <v>0</v>
      </c>
      <c r="I41" s="915">
        <f>+F41*'3-DONNEES DE BASE'!E44</f>
        <v>0</v>
      </c>
      <c r="J41" s="913">
        <v>0</v>
      </c>
      <c r="K41" s="914">
        <v>0</v>
      </c>
      <c r="L41" s="915">
        <v>0</v>
      </c>
      <c r="M41" s="913">
        <f>+(J41+G41)*(+F19-1)</f>
        <v>22239.179999999993</v>
      </c>
      <c r="N41" s="914">
        <f>+(K41+H41)*(+G19-1)</f>
        <v>0</v>
      </c>
      <c r="O41" s="915">
        <f>(+L41+I41)*(+H19-1)</f>
        <v>0</v>
      </c>
      <c r="P41" s="913">
        <f>+M41+J41+G41</f>
        <v>202239.18</v>
      </c>
      <c r="Q41" s="914">
        <f>+N41+K41+H41</f>
        <v>0</v>
      </c>
      <c r="R41" s="915">
        <f>+O41+L41+I41</f>
        <v>0</v>
      </c>
      <c r="S41" s="916">
        <f>+G41+H41+I41</f>
        <v>180000</v>
      </c>
      <c r="T41" s="914">
        <f>+L41+K41+J41</f>
        <v>0</v>
      </c>
      <c r="U41" s="914">
        <f>+O41+N41+M41</f>
        <v>22239.179999999993</v>
      </c>
      <c r="V41" s="915">
        <f>+U41+T41+S41</f>
        <v>202239.18</v>
      </c>
      <c r="W41" s="101"/>
      <c r="X41" s="101"/>
      <c r="Y41" s="101"/>
    </row>
    <row r="42" spans="2:25" s="54" customFormat="1" ht="18.95" customHeight="1">
      <c r="B42" s="1482" t="s">
        <v>63</v>
      </c>
      <c r="C42" s="1483"/>
      <c r="D42" s="1483"/>
      <c r="E42" s="1484"/>
      <c r="F42" s="917">
        <f t="shared" ref="F42:F47" si="15">+H10</f>
        <v>15126.050420168069</v>
      </c>
      <c r="G42" s="918">
        <f>+F42*'3-DONNEES DE BASE'!E42</f>
        <v>15126.050420168069</v>
      </c>
      <c r="H42" s="918">
        <f>+F42*'3-DONNEES DE BASE'!E43</f>
        <v>0</v>
      </c>
      <c r="I42" s="919">
        <f>+F42*'3-DONNEES DE BASE'!E44</f>
        <v>0</v>
      </c>
      <c r="J42" s="917">
        <v>0</v>
      </c>
      <c r="K42" s="918">
        <v>0</v>
      </c>
      <c r="L42" s="919">
        <v>0</v>
      </c>
      <c r="M42" s="917">
        <f>+(J42+G42)*(F19-1)</f>
        <v>1868.8386554621845</v>
      </c>
      <c r="N42" s="918">
        <f>+(K42+H42)*(G19-1)</f>
        <v>0</v>
      </c>
      <c r="O42" s="919">
        <f>(+L42+I42)*(H19-1)</f>
        <v>0</v>
      </c>
      <c r="P42" s="917">
        <f t="shared" ref="P42:P47" si="16">+M42+J42+G42</f>
        <v>16994.889075630254</v>
      </c>
      <c r="Q42" s="918">
        <f t="shared" ref="Q42:Q47" si="17">+N42+K42+H42</f>
        <v>0</v>
      </c>
      <c r="R42" s="919">
        <f t="shared" ref="R42:R47" si="18">+O42+L42+I42</f>
        <v>0</v>
      </c>
      <c r="S42" s="920">
        <f t="shared" ref="S42:S47" si="19">+G42+H42+I42</f>
        <v>15126.050420168069</v>
      </c>
      <c r="T42" s="918">
        <f t="shared" ref="T42:T47" si="20">+L42+K42+J42</f>
        <v>0</v>
      </c>
      <c r="U42" s="918">
        <f t="shared" ref="U42:U47" si="21">+O42+N42+M42</f>
        <v>1868.8386554621845</v>
      </c>
      <c r="V42" s="919">
        <f t="shared" ref="V42:V48" si="22">+U42+T42+S42</f>
        <v>16994.889075630254</v>
      </c>
      <c r="W42" s="101"/>
      <c r="X42" s="101"/>
      <c r="Y42" s="101"/>
    </row>
    <row r="43" spans="2:25" s="233" customFormat="1" ht="51.95" customHeight="1">
      <c r="B43" s="1485" t="s">
        <v>433</v>
      </c>
      <c r="C43" s="1486"/>
      <c r="D43" s="1486"/>
      <c r="E43" s="1487"/>
      <c r="F43" s="903">
        <f t="shared" si="15"/>
        <v>672268.90756302525</v>
      </c>
      <c r="G43" s="904">
        <f>+F43*'3-DONNEES DE BASE'!E50</f>
        <v>0</v>
      </c>
      <c r="H43" s="904">
        <f>+F43*'3-DONNEES DE BASE'!E51</f>
        <v>537815.12605042022</v>
      </c>
      <c r="I43" s="905">
        <f>+F43*'3-DONNEES DE BASE'!E52</f>
        <v>134453.78151260506</v>
      </c>
      <c r="J43" s="903">
        <f>+G43*'3-DONNEES DE BASE'!E27</f>
        <v>0</v>
      </c>
      <c r="K43" s="904">
        <f>+H43*'3-DONNEES DE BASE'!E27</f>
        <v>48403.361344537821</v>
      </c>
      <c r="L43" s="905">
        <f>+I43*'3-DONNEES DE BASE'!E27</f>
        <v>12100.840336134455</v>
      </c>
      <c r="M43" s="903">
        <f>+(J43+G43)*(F19-1)</f>
        <v>0</v>
      </c>
      <c r="N43" s="904">
        <f>+(K43+H43)*(G19-1)</f>
        <v>107336.13782588225</v>
      </c>
      <c r="O43" s="905">
        <f>+(L43+I43)*(H19-1)</f>
        <v>36023.633240646705</v>
      </c>
      <c r="P43" s="903">
        <f t="shared" si="16"/>
        <v>0</v>
      </c>
      <c r="Q43" s="904">
        <f>+N43+K43+H43</f>
        <v>693554.62522084033</v>
      </c>
      <c r="R43" s="905">
        <f t="shared" si="18"/>
        <v>182578.25508938622</v>
      </c>
      <c r="S43" s="906">
        <f t="shared" si="19"/>
        <v>672268.90756302525</v>
      </c>
      <c r="T43" s="904">
        <f t="shared" si="20"/>
        <v>60504.201680672275</v>
      </c>
      <c r="U43" s="904">
        <f t="shared" si="21"/>
        <v>143359.77106652895</v>
      </c>
      <c r="V43" s="905">
        <f t="shared" si="22"/>
        <v>876132.88031022646</v>
      </c>
      <c r="W43" s="234"/>
      <c r="X43" s="234"/>
      <c r="Y43" s="234"/>
    </row>
    <row r="44" spans="2:25" s="233" customFormat="1" ht="59.1" customHeight="1">
      <c r="B44" s="1485" t="s">
        <v>434</v>
      </c>
      <c r="C44" s="1486"/>
      <c r="D44" s="1486"/>
      <c r="E44" s="1487"/>
      <c r="F44" s="903">
        <f t="shared" si="15"/>
        <v>52436.97478991597</v>
      </c>
      <c r="G44" s="904">
        <f>+F44*'3-DONNEES DE BASE'!E54</f>
        <v>0</v>
      </c>
      <c r="H44" s="904">
        <f>+F44*'3-DONNEES DE BASE'!E55</f>
        <v>41949.579831932781</v>
      </c>
      <c r="I44" s="905">
        <f>+F44*'3-DONNEES DE BASE'!E56</f>
        <v>10487.394957983195</v>
      </c>
      <c r="J44" s="903">
        <v>0</v>
      </c>
      <c r="K44" s="904">
        <f>+H44*'3-DONNEES DE BASE'!E28</f>
        <v>2097.4789915966389</v>
      </c>
      <c r="L44" s="905">
        <f>+I44*'3-DONNEES DE BASE'!E28</f>
        <v>524.36974789915973</v>
      </c>
      <c r="M44" s="903">
        <f>+(J44+G44)*(F19-1)</f>
        <v>0</v>
      </c>
      <c r="N44" s="904">
        <f>+(K44+H44)*(G19-1)</f>
        <v>8064.9813650823462</v>
      </c>
      <c r="O44" s="905">
        <f>+(L44+I44)*(H19-1)</f>
        <v>2706.7298737696929</v>
      </c>
      <c r="P44" s="903">
        <f t="shared" si="16"/>
        <v>0</v>
      </c>
      <c r="Q44" s="904">
        <f t="shared" si="17"/>
        <v>52112.040188611762</v>
      </c>
      <c r="R44" s="905">
        <f t="shared" si="18"/>
        <v>13718.494579652048</v>
      </c>
      <c r="S44" s="906">
        <f t="shared" si="19"/>
        <v>52436.974789915977</v>
      </c>
      <c r="T44" s="904">
        <f t="shared" si="20"/>
        <v>2621.8487394957988</v>
      </c>
      <c r="U44" s="904">
        <f t="shared" si="21"/>
        <v>10771.71123885204</v>
      </c>
      <c r="V44" s="905">
        <f t="shared" si="22"/>
        <v>65830.534768263809</v>
      </c>
      <c r="W44" s="234"/>
      <c r="X44" s="234"/>
      <c r="Y44" s="234"/>
    </row>
    <row r="45" spans="2:25" s="233" customFormat="1" ht="40.5" customHeight="1">
      <c r="B45" s="1505" t="s">
        <v>435</v>
      </c>
      <c r="C45" s="1506"/>
      <c r="D45" s="1506"/>
      <c r="E45" s="1507"/>
      <c r="F45" s="903">
        <f t="shared" si="15"/>
        <v>35630.252100840335</v>
      </c>
      <c r="G45" s="904">
        <f>+F45*'3-DONNEES DE BASE'!E58</f>
        <v>0</v>
      </c>
      <c r="H45" s="904">
        <f>+F45*'3-DONNEES DE BASE'!E59</f>
        <v>14252.100840336134</v>
      </c>
      <c r="I45" s="905">
        <f>+F45*'3-DONNEES DE BASE'!E60</f>
        <v>21378.151260504201</v>
      </c>
      <c r="J45" s="903">
        <v>0</v>
      </c>
      <c r="K45" s="904">
        <f>+H45*'3-DONNEES DE BASE'!E29</f>
        <v>712.60504201680669</v>
      </c>
      <c r="L45" s="905">
        <f>+I45*'3-DONNEES DE BASE'!E29</f>
        <v>1068.90756302521</v>
      </c>
      <c r="M45" s="903">
        <f>+(J45+G45)*(F19-1)</f>
        <v>0</v>
      </c>
      <c r="N45" s="904">
        <f>+(K45+H45)*(G19-1)</f>
        <v>2740.0257201882323</v>
      </c>
      <c r="O45" s="905">
        <f>+(L45+I45)*(H19-1)</f>
        <v>5517.5647426843734</v>
      </c>
      <c r="P45" s="903">
        <f t="shared" si="16"/>
        <v>0</v>
      </c>
      <c r="Q45" s="904">
        <f t="shared" si="17"/>
        <v>17704.731602541171</v>
      </c>
      <c r="R45" s="905">
        <f t="shared" si="18"/>
        <v>27964.623566213784</v>
      </c>
      <c r="S45" s="906">
        <f t="shared" si="19"/>
        <v>35630.252100840335</v>
      </c>
      <c r="T45" s="904">
        <f t="shared" si="20"/>
        <v>1781.5126050420167</v>
      </c>
      <c r="U45" s="904">
        <f t="shared" si="21"/>
        <v>8257.5904628726057</v>
      </c>
      <c r="V45" s="905">
        <f t="shared" si="22"/>
        <v>45669.355168754955</v>
      </c>
      <c r="W45" s="234"/>
      <c r="X45" s="234"/>
      <c r="Y45" s="234"/>
    </row>
    <row r="46" spans="2:25" s="233" customFormat="1" ht="31.5" customHeight="1">
      <c r="B46" s="1479" t="s">
        <v>436</v>
      </c>
      <c r="C46" s="1480"/>
      <c r="D46" s="1480"/>
      <c r="E46" s="1481"/>
      <c r="F46" s="903">
        <f t="shared" si="15"/>
        <v>75987.185840707971</v>
      </c>
      <c r="G46" s="904">
        <f>+F46*'3-DONNEES DE BASE'!E46</f>
        <v>75987.185840707971</v>
      </c>
      <c r="H46" s="904">
        <f>+F46*'3-DONNEES DE BASE'!E47</f>
        <v>0</v>
      </c>
      <c r="I46" s="905">
        <f>+F46*'3-DONNEES DE BASE'!E48</f>
        <v>0</v>
      </c>
      <c r="J46" s="903">
        <v>0</v>
      </c>
      <c r="K46" s="904">
        <v>0</v>
      </c>
      <c r="L46" s="905">
        <v>0</v>
      </c>
      <c r="M46" s="903">
        <f>+(J46+G46)*(F19-1)</f>
        <v>9388.2927978053085</v>
      </c>
      <c r="N46" s="904">
        <f>+(K46+H46)*(G19-1)</f>
        <v>0</v>
      </c>
      <c r="O46" s="905">
        <f>(+L46+I46)*(H19-1)</f>
        <v>0</v>
      </c>
      <c r="P46" s="903">
        <f t="shared" si="16"/>
        <v>85375.478638513276</v>
      </c>
      <c r="Q46" s="904">
        <f t="shared" si="17"/>
        <v>0</v>
      </c>
      <c r="R46" s="905">
        <f t="shared" si="18"/>
        <v>0</v>
      </c>
      <c r="S46" s="906">
        <f t="shared" si="19"/>
        <v>75987.185840707971</v>
      </c>
      <c r="T46" s="904">
        <f t="shared" si="20"/>
        <v>0</v>
      </c>
      <c r="U46" s="904">
        <f t="shared" si="21"/>
        <v>9388.2927978053085</v>
      </c>
      <c r="V46" s="905">
        <f t="shared" si="22"/>
        <v>85375.478638513276</v>
      </c>
      <c r="W46" s="234"/>
      <c r="X46" s="234"/>
      <c r="Y46" s="234"/>
    </row>
    <row r="47" spans="2:25" s="233" customFormat="1" ht="24.95" customHeight="1">
      <c r="B47" s="1485" t="s">
        <v>70</v>
      </c>
      <c r="C47" s="1486"/>
      <c r="D47" s="1486"/>
      <c r="E47" s="1487"/>
      <c r="F47" s="903">
        <f t="shared" si="15"/>
        <v>39451.281769911511</v>
      </c>
      <c r="G47" s="904">
        <f>+F47*'3-DONNEES DE BASE'!E62</f>
        <v>11835.384530973453</v>
      </c>
      <c r="H47" s="904">
        <f>+F47*'3-DONNEES DE BASE'!E63</f>
        <v>23670.769061946907</v>
      </c>
      <c r="I47" s="905">
        <f>+F47*'3-DONNEES DE BASE'!E64</f>
        <v>3945.1281769911511</v>
      </c>
      <c r="J47" s="903">
        <v>0</v>
      </c>
      <c r="K47" s="904">
        <v>0</v>
      </c>
      <c r="L47" s="905">
        <v>0</v>
      </c>
      <c r="M47" s="903">
        <f>+(J47+G47)*(F19-1)</f>
        <v>1462.2735941863007</v>
      </c>
      <c r="N47" s="904">
        <f>+(K47+H47)*(G19-1)</f>
        <v>4334.0989496395323</v>
      </c>
      <c r="O47" s="905">
        <f>(+L47+I47)*(H19-1)</f>
        <v>969.72615904226893</v>
      </c>
      <c r="P47" s="903">
        <f t="shared" si="16"/>
        <v>13297.658125159754</v>
      </c>
      <c r="Q47" s="904">
        <f t="shared" si="17"/>
        <v>28004.868011586441</v>
      </c>
      <c r="R47" s="905">
        <f t="shared" si="18"/>
        <v>4914.8543360334197</v>
      </c>
      <c r="S47" s="906">
        <f t="shared" si="19"/>
        <v>39451.281769911511</v>
      </c>
      <c r="T47" s="904">
        <f t="shared" si="20"/>
        <v>0</v>
      </c>
      <c r="U47" s="904">
        <f t="shared" si="21"/>
        <v>6766.0987028681011</v>
      </c>
      <c r="V47" s="905">
        <f t="shared" si="22"/>
        <v>46217.380472779609</v>
      </c>
      <c r="W47" s="234"/>
      <c r="X47" s="234"/>
      <c r="Y47" s="234"/>
    </row>
    <row r="48" spans="2:25" s="171" customFormat="1" ht="27" customHeight="1" thickBot="1">
      <c r="B48" s="1488" t="s">
        <v>68</v>
      </c>
      <c r="C48" s="1489"/>
      <c r="D48" s="1489"/>
      <c r="E48" s="1490"/>
      <c r="F48" s="911">
        <f t="shared" ref="F48:U48" si="23">+SUM(F41:F47)</f>
        <v>1070900.652484569</v>
      </c>
      <c r="G48" s="909">
        <f t="shared" si="23"/>
        <v>282948.62079184951</v>
      </c>
      <c r="H48" s="909">
        <f t="shared" si="23"/>
        <v>617687.57578463608</v>
      </c>
      <c r="I48" s="910">
        <f t="shared" si="23"/>
        <v>170264.45590808362</v>
      </c>
      <c r="J48" s="911">
        <f t="shared" si="23"/>
        <v>0</v>
      </c>
      <c r="K48" s="909">
        <f t="shared" si="23"/>
        <v>51213.445378151271</v>
      </c>
      <c r="L48" s="910">
        <f t="shared" si="23"/>
        <v>13694.117647058825</v>
      </c>
      <c r="M48" s="911">
        <f t="shared" si="23"/>
        <v>34958.58504745378</v>
      </c>
      <c r="N48" s="909">
        <f t="shared" si="23"/>
        <v>122475.24386079237</v>
      </c>
      <c r="O48" s="910">
        <f t="shared" si="23"/>
        <v>45217.654016143038</v>
      </c>
      <c r="P48" s="911">
        <f t="shared" si="23"/>
        <v>317907.20583930326</v>
      </c>
      <c r="Q48" s="909">
        <f t="shared" si="23"/>
        <v>791376.2650235797</v>
      </c>
      <c r="R48" s="910">
        <f t="shared" si="23"/>
        <v>229176.2275712855</v>
      </c>
      <c r="S48" s="948">
        <f t="shared" si="23"/>
        <v>1070900.652484569</v>
      </c>
      <c r="T48" s="909">
        <f t="shared" si="23"/>
        <v>64907.563025210089</v>
      </c>
      <c r="U48" s="909">
        <f t="shared" si="23"/>
        <v>202651.48292438916</v>
      </c>
      <c r="V48" s="910">
        <f t="shared" si="22"/>
        <v>1338459.6984341682</v>
      </c>
      <c r="W48" s="947"/>
      <c r="X48" s="947"/>
      <c r="Y48" s="947"/>
    </row>
    <row r="49" spans="1:25" s="54" customFormat="1" ht="20.100000000000001" customHeight="1">
      <c r="B49" s="59"/>
      <c r="C49" s="62"/>
      <c r="D49" s="64"/>
      <c r="E49" s="86"/>
      <c r="F49" s="110"/>
      <c r="G49" s="108"/>
      <c r="H49" s="108"/>
      <c r="I49" s="108"/>
      <c r="J49" s="109"/>
      <c r="K49" s="109"/>
      <c r="L49" s="109"/>
      <c r="M49" s="109"/>
      <c r="N49" s="110"/>
      <c r="O49" s="272"/>
      <c r="P49" s="120"/>
      <c r="Q49" s="101"/>
      <c r="R49" s="402"/>
      <c r="S49" s="101"/>
      <c r="T49" s="101"/>
      <c r="U49" s="402"/>
      <c r="V49" s="101"/>
      <c r="W49" s="101"/>
      <c r="X49" s="101"/>
      <c r="Y49" s="101"/>
    </row>
    <row r="50" spans="1:25" ht="17.45" customHeight="1" thickBot="1">
      <c r="A50" s="40"/>
      <c r="B50" s="113"/>
      <c r="C50" s="113"/>
      <c r="D50" s="113"/>
      <c r="E50" s="113"/>
      <c r="F50" s="114"/>
      <c r="G50" s="114"/>
      <c r="H50" s="102"/>
      <c r="I50" s="102"/>
      <c r="N50" s="53"/>
      <c r="O50" s="122"/>
      <c r="P50" s="122"/>
      <c r="Q50" s="287"/>
      <c r="R50" s="122"/>
      <c r="S50" s="121"/>
      <c r="T50" s="53"/>
    </row>
    <row r="51" spans="1:25" ht="18.95" customHeight="1" thickBot="1">
      <c r="A51" s="40"/>
      <c r="B51" s="1508" t="s">
        <v>179</v>
      </c>
      <c r="C51" s="1509"/>
      <c r="D51" s="1509"/>
      <c r="E51" s="1509"/>
      <c r="F51" s="1509"/>
      <c r="G51" s="1509"/>
      <c r="H51" s="1510"/>
      <c r="I51" s="102"/>
      <c r="O51" s="122"/>
      <c r="P51" s="122"/>
      <c r="Q51" s="122"/>
      <c r="R51" s="122"/>
      <c r="S51" s="121"/>
    </row>
    <row r="52" spans="1:25" ht="17.45" customHeight="1">
      <c r="A52" s="40"/>
      <c r="B52" s="278"/>
      <c r="C52" s="278"/>
      <c r="D52" s="278"/>
      <c r="E52" s="278"/>
      <c r="F52" s="278"/>
      <c r="G52" s="278"/>
      <c r="H52" s="278"/>
      <c r="I52" s="102"/>
      <c r="O52" s="271"/>
      <c r="P52" s="271"/>
      <c r="Q52" s="271"/>
      <c r="R52" s="271"/>
      <c r="S52" s="121"/>
    </row>
    <row r="53" spans="1:25" ht="17.45" customHeight="1" thickBot="1">
      <c r="A53" s="40"/>
      <c r="B53" s="278"/>
      <c r="C53" s="278"/>
      <c r="D53" s="278"/>
      <c r="E53" s="278"/>
      <c r="F53" s="278"/>
      <c r="G53" s="278"/>
      <c r="H53" s="278"/>
      <c r="I53" s="1586"/>
      <c r="J53" s="1586"/>
      <c r="K53" s="1587"/>
      <c r="L53" s="1587"/>
      <c r="M53" s="817"/>
      <c r="O53" s="271"/>
      <c r="P53" s="271"/>
      <c r="Q53" s="271"/>
      <c r="R53" s="271"/>
      <c r="S53" s="121"/>
    </row>
    <row r="54" spans="1:25" ht="17.45" customHeight="1">
      <c r="A54" s="40"/>
      <c r="B54" s="1552" t="s">
        <v>95</v>
      </c>
      <c r="C54" s="1553"/>
      <c r="D54" s="1553"/>
      <c r="E54" s="1553"/>
      <c r="F54" s="1548" t="s">
        <v>468</v>
      </c>
      <c r="G54" s="1475" t="s">
        <v>437</v>
      </c>
      <c r="H54" s="1550" t="s">
        <v>176</v>
      </c>
      <c r="I54" s="1591" t="s">
        <v>438</v>
      </c>
      <c r="J54" s="1591" t="s">
        <v>439</v>
      </c>
      <c r="K54" s="1588" t="s">
        <v>440</v>
      </c>
      <c r="L54" s="1588" t="s">
        <v>441</v>
      </c>
      <c r="O54" s="122"/>
      <c r="P54" s="122"/>
      <c r="Q54" s="122"/>
      <c r="R54" s="122"/>
      <c r="S54" s="121"/>
    </row>
    <row r="55" spans="1:25" ht="101.45" customHeight="1" thickBot="1">
      <c r="A55" s="40"/>
      <c r="B55" s="1554"/>
      <c r="C55" s="1555"/>
      <c r="D55" s="1555"/>
      <c r="E55" s="1555"/>
      <c r="F55" s="1549"/>
      <c r="G55" s="1590"/>
      <c r="H55" s="1551"/>
      <c r="I55" s="1592"/>
      <c r="J55" s="1592"/>
      <c r="K55" s="1589"/>
      <c r="L55" s="1589"/>
      <c r="O55" s="122"/>
      <c r="P55" s="122"/>
      <c r="Q55" s="122"/>
      <c r="R55" s="122"/>
      <c r="S55" s="121"/>
    </row>
    <row r="56" spans="1:25" ht="15.95" customHeight="1">
      <c r="A56" s="40"/>
      <c r="B56" s="1496" t="s">
        <v>66</v>
      </c>
      <c r="C56" s="1497"/>
      <c r="D56" s="1497"/>
      <c r="E56" s="1498"/>
      <c r="F56" s="1018">
        <f t="shared" ref="F56:F61" si="24">+V26</f>
        <v>202239.18</v>
      </c>
      <c r="G56" s="1019">
        <f t="shared" ref="G56:G62" si="25">+V41</f>
        <v>202239.18</v>
      </c>
      <c r="H56" s="921" t="s">
        <v>177</v>
      </c>
      <c r="I56" s="921" t="s">
        <v>177</v>
      </c>
      <c r="J56" s="921" t="s">
        <v>177</v>
      </c>
      <c r="K56" s="991" t="s">
        <v>177</v>
      </c>
      <c r="L56" s="1021" t="s">
        <v>177</v>
      </c>
      <c r="O56" s="271"/>
      <c r="P56" s="271"/>
      <c r="Q56" s="271"/>
      <c r="R56" s="271"/>
      <c r="S56" s="121"/>
    </row>
    <row r="57" spans="1:25" ht="15.6" customHeight="1">
      <c r="A57" s="40"/>
      <c r="B57" s="1482" t="s">
        <v>63</v>
      </c>
      <c r="C57" s="1483"/>
      <c r="D57" s="1483"/>
      <c r="E57" s="1484"/>
      <c r="F57" s="917">
        <f t="shared" si="24"/>
        <v>20223.917999999998</v>
      </c>
      <c r="G57" s="919">
        <f t="shared" si="25"/>
        <v>16994.889075630254</v>
      </c>
      <c r="H57" s="922">
        <f>+'3-DONNEES DE BASE'!J96</f>
        <v>40</v>
      </c>
      <c r="I57" s="923">
        <f>+(F57/'3-DONNEES DE BASE'!J96)*('3-DONNEES DE BASE'!J96-10)</f>
        <v>15167.938499999998</v>
      </c>
      <c r="J57" s="923">
        <f>+(F57/'3-DONNEES DE BASE'!J96)*('3-DONNEES DE BASE'!J96-20)</f>
        <v>10111.958999999999</v>
      </c>
      <c r="K57" s="1020">
        <f>+(G57/'3-DONNEES DE BASE'!J96)*('3-DONNEES DE BASE'!J96-10)</f>
        <v>12746.166806722689</v>
      </c>
      <c r="L57" s="1020">
        <f>+(G57/'3-DONNEES DE BASE'!J96)*('3-DONNEES DE BASE'!J96-20)</f>
        <v>8497.4445378151268</v>
      </c>
      <c r="O57" s="271"/>
      <c r="P57" s="271"/>
      <c r="Q57" s="271"/>
      <c r="R57" s="271"/>
      <c r="S57" s="121"/>
    </row>
    <row r="58" spans="1:25" s="116" customFormat="1" ht="45.6" customHeight="1">
      <c r="A58" s="115"/>
      <c r="B58" s="1485" t="s">
        <v>433</v>
      </c>
      <c r="C58" s="1486"/>
      <c r="D58" s="1486"/>
      <c r="E58" s="1487"/>
      <c r="F58" s="992">
        <f t="shared" si="24"/>
        <v>1042598.1275691694</v>
      </c>
      <c r="G58" s="994">
        <f t="shared" si="25"/>
        <v>876132.88031022646</v>
      </c>
      <c r="H58" s="922">
        <f>+'3-DONNEES DE BASE'!J96</f>
        <v>40</v>
      </c>
      <c r="I58" s="922">
        <f>+(F58/'3-DONNEES DE BASE'!J96)*('3-DONNEES DE BASE'!J96-10)</f>
        <v>781948.59567687707</v>
      </c>
      <c r="J58" s="922">
        <f>+(F58/'3-DONNEES DE BASE'!J96)*('3-DONNEES DE BASE'!J96-20)</f>
        <v>521299.06378458475</v>
      </c>
      <c r="K58" s="922">
        <f>+(G58/'3-DONNEES DE BASE'!J96)*('3-DONNEES DE BASE'!J96-10)</f>
        <v>657099.66023266991</v>
      </c>
      <c r="L58" s="922">
        <f>+(G58/'3-DONNEES DE BASE'!J96)*(40-20)</f>
        <v>438066.44015511323</v>
      </c>
      <c r="M58" s="275"/>
      <c r="N58" s="275"/>
      <c r="O58" s="816"/>
      <c r="P58" s="816"/>
      <c r="Q58" s="816"/>
      <c r="R58" s="816"/>
      <c r="S58" s="276"/>
      <c r="T58" s="275"/>
      <c r="U58" s="275"/>
      <c r="V58" s="275"/>
      <c r="W58" s="275"/>
      <c r="X58" s="275"/>
      <c r="Y58" s="275"/>
    </row>
    <row r="59" spans="1:25" s="116" customFormat="1" ht="51.6" customHeight="1">
      <c r="A59" s="115"/>
      <c r="B59" s="1485" t="s">
        <v>434</v>
      </c>
      <c r="C59" s="1486"/>
      <c r="D59" s="1486"/>
      <c r="E59" s="1487"/>
      <c r="F59" s="992">
        <f t="shared" si="24"/>
        <v>78338.336374233928</v>
      </c>
      <c r="G59" s="994">
        <f t="shared" si="25"/>
        <v>65830.534768263809</v>
      </c>
      <c r="H59" s="922">
        <f>+'3-DONNEES DE BASE'!J97</f>
        <v>10</v>
      </c>
      <c r="I59" s="922">
        <f>+(F59/'3-DONNEES DE BASE'!J96)*('3-DONNEES DE BASE'!J97-10)</f>
        <v>0</v>
      </c>
      <c r="J59" s="922">
        <f>+(F59/'3-DONNEES DE BASE'!J96)*('3-DONNEES DE BASE'!J97-10)</f>
        <v>0</v>
      </c>
      <c r="K59" s="924">
        <f>+(G59/'3-DONNEES DE BASE'!J97)*('3-DONNEES DE BASE'!J97-10)</f>
        <v>0</v>
      </c>
      <c r="L59" s="924">
        <f>+(G59/'3-DONNEES DE BASE'!J97)*('3-DONNEES DE BASE'!J97-10)</f>
        <v>0</v>
      </c>
      <c r="M59" s="275"/>
      <c r="N59" s="275"/>
      <c r="O59" s="816"/>
      <c r="P59" s="816"/>
      <c r="Q59" s="816"/>
      <c r="R59" s="816"/>
      <c r="S59" s="276"/>
      <c r="T59" s="275"/>
      <c r="U59" s="275"/>
      <c r="V59" s="275"/>
      <c r="W59" s="275"/>
      <c r="X59" s="275"/>
      <c r="Y59" s="275"/>
    </row>
    <row r="60" spans="1:25" s="116" customFormat="1" ht="39.6" customHeight="1">
      <c r="A60" s="115"/>
      <c r="B60" s="1505" t="s">
        <v>435</v>
      </c>
      <c r="C60" s="1506"/>
      <c r="D60" s="1506"/>
      <c r="E60" s="1506"/>
      <c r="F60" s="992">
        <f t="shared" si="24"/>
        <v>54346.532650818401</v>
      </c>
      <c r="G60" s="994">
        <f t="shared" si="25"/>
        <v>45669.355168754955</v>
      </c>
      <c r="H60" s="922">
        <f>+'3-DONNEES DE BASE'!J98</f>
        <v>5</v>
      </c>
      <c r="I60" s="922">
        <f>+(F60/'3-DONNEES DE BASE'!J98)*('3-DONNEES DE BASE'!J98-5)</f>
        <v>0</v>
      </c>
      <c r="J60" s="922">
        <f>+(G60/'3-DONNEES DE BASE'!J98)*('3-DONNEES DE BASE'!J98-5)</f>
        <v>0</v>
      </c>
      <c r="K60" s="924">
        <f>+(G60/'3-DONNEES DE BASE'!J98)*('3-DONNEES DE BASE'!J98-5)</f>
        <v>0</v>
      </c>
      <c r="L60" s="924">
        <f>+(G60/'3-DONNEES DE BASE'!J98)*('3-DONNEES DE BASE'!J98-5)</f>
        <v>0</v>
      </c>
      <c r="M60" s="275"/>
      <c r="N60" s="275"/>
      <c r="O60" s="134"/>
      <c r="P60" s="134"/>
      <c r="Q60" s="134"/>
      <c r="R60" s="134"/>
      <c r="S60" s="276"/>
      <c r="T60" s="275"/>
      <c r="U60" s="275"/>
      <c r="V60" s="275"/>
      <c r="W60" s="275"/>
      <c r="X60" s="275"/>
      <c r="Y60" s="275"/>
    </row>
    <row r="61" spans="1:25" ht="27.95" customHeight="1">
      <c r="A61" s="40"/>
      <c r="B61" s="1479" t="s">
        <v>436</v>
      </c>
      <c r="C61" s="1480"/>
      <c r="D61" s="1480"/>
      <c r="E61" s="1481"/>
      <c r="F61" s="917">
        <f t="shared" si="24"/>
        <v>96474.290861519999</v>
      </c>
      <c r="G61" s="919">
        <f t="shared" si="25"/>
        <v>85375.478638513276</v>
      </c>
      <c r="H61" s="923">
        <f>+'3-DONNEES DE BASE'!J99</f>
        <v>3</v>
      </c>
      <c r="I61" s="923">
        <f>+(F61/'3-DONNEES DE BASE'!J99)*('3-DONNEES DE BASE'!J99-3)</f>
        <v>0</v>
      </c>
      <c r="J61" s="923">
        <f>+(F61/'3-DONNEES DE BASE'!J99)*('3-DONNEES DE BASE'!J99-3)</f>
        <v>0</v>
      </c>
      <c r="K61" s="925">
        <f>+(G61/'3-DONNEES DE BASE'!J99)*('3-DONNEES DE BASE'!J99-3)</f>
        <v>0</v>
      </c>
      <c r="L61" s="925">
        <f>+(G61/'3-DONNEES DE BASE'!J99)*('3-DONNEES DE BASE'!J99-3)</f>
        <v>0</v>
      </c>
      <c r="O61" s="122"/>
      <c r="P61" s="122"/>
      <c r="Q61" s="122"/>
      <c r="R61" s="122"/>
      <c r="S61" s="121"/>
    </row>
    <row r="62" spans="1:25" ht="22.5" customHeight="1">
      <c r="A62" s="40"/>
      <c r="B62" s="1485" t="s">
        <v>70</v>
      </c>
      <c r="C62" s="1486"/>
      <c r="D62" s="1486"/>
      <c r="E62" s="1487"/>
      <c r="F62" s="992">
        <f>+H15</f>
        <v>39451.281769911511</v>
      </c>
      <c r="G62" s="994">
        <f t="shared" si="25"/>
        <v>46217.380472779609</v>
      </c>
      <c r="H62" s="923">
        <f>+'3-DONNEES DE BASE'!J99</f>
        <v>3</v>
      </c>
      <c r="I62" s="923">
        <f>+(F62/'3-DONNEES DE BASE'!J99)*('3-DONNEES DE BASE'!J99-3)</f>
        <v>0</v>
      </c>
      <c r="J62" s="923">
        <f>+(G62/'3-DONNEES DE BASE'!J99)*('3-DONNEES DE BASE'!J99-3)</f>
        <v>0</v>
      </c>
      <c r="K62" s="925">
        <f>+(G62/'3-DONNEES DE BASE'!J99)*('3-DONNEES DE BASE'!J99-3)</f>
        <v>0</v>
      </c>
      <c r="L62" s="925">
        <f>+(G62/'3-DONNEES DE BASE'!J99)*('3-DONNEES DE BASE'!J99-3)</f>
        <v>0</v>
      </c>
      <c r="O62" s="271"/>
      <c r="P62" s="271"/>
      <c r="Q62" s="271"/>
      <c r="R62" s="271"/>
      <c r="S62" s="121"/>
    </row>
    <row r="63" spans="1:25" s="117" customFormat="1" ht="21" customHeight="1" thickBot="1">
      <c r="A63" s="926"/>
      <c r="B63" s="1488" t="s">
        <v>68</v>
      </c>
      <c r="C63" s="1489"/>
      <c r="D63" s="1489"/>
      <c r="E63" s="1490"/>
      <c r="F63" s="911">
        <f t="shared" ref="F63:L63" si="26">+SUM(F56:F62)</f>
        <v>1533671.6672256533</v>
      </c>
      <c r="G63" s="910">
        <f t="shared" si="26"/>
        <v>1338459.6984341682</v>
      </c>
      <c r="H63" s="928"/>
      <c r="I63" s="1022">
        <f t="shared" si="26"/>
        <v>797116.53417687712</v>
      </c>
      <c r="J63" s="1022">
        <f t="shared" si="26"/>
        <v>531411.02278458478</v>
      </c>
      <c r="K63" s="1022">
        <f t="shared" si="26"/>
        <v>669845.82703939255</v>
      </c>
      <c r="L63" s="1022">
        <f t="shared" si="26"/>
        <v>446563.88469292835</v>
      </c>
      <c r="M63" s="929"/>
      <c r="N63" s="929"/>
      <c r="O63" s="901"/>
      <c r="P63" s="901"/>
      <c r="Q63" s="901"/>
      <c r="R63" s="901"/>
      <c r="S63" s="902"/>
      <c r="T63" s="929"/>
      <c r="U63" s="929"/>
      <c r="V63" s="929"/>
      <c r="W63" s="929"/>
      <c r="X63" s="929"/>
      <c r="Y63" s="929"/>
    </row>
    <row r="64" spans="1:25" ht="19.5" customHeight="1">
      <c r="A64" s="40"/>
      <c r="B64" s="85"/>
      <c r="C64" s="85"/>
      <c r="D64" s="85"/>
      <c r="E64" s="85"/>
      <c r="F64" s="61"/>
      <c r="G64" s="61"/>
      <c r="H64" s="277"/>
      <c r="I64" s="277"/>
      <c r="J64" s="277"/>
      <c r="O64" s="271"/>
      <c r="P64" s="271"/>
      <c r="Q64" s="271"/>
      <c r="R64" s="271"/>
      <c r="S64" s="121"/>
    </row>
    <row r="65" spans="1:19" ht="19.5" customHeight="1">
      <c r="A65" s="40"/>
      <c r="B65" s="85"/>
      <c r="C65" s="85"/>
      <c r="D65" s="85"/>
      <c r="E65" s="85"/>
      <c r="F65" s="61"/>
      <c r="G65" s="61"/>
      <c r="H65" s="277"/>
      <c r="I65" s="277"/>
      <c r="J65" s="277"/>
      <c r="O65" s="271"/>
      <c r="P65" s="271"/>
      <c r="Q65" s="271"/>
      <c r="R65" s="271"/>
      <c r="S65" s="121"/>
    </row>
    <row r="67" spans="1:19">
      <c r="B67" s="56"/>
    </row>
  </sheetData>
  <mergeCells count="79">
    <mergeCell ref="B63:E63"/>
    <mergeCell ref="B21:K21"/>
    <mergeCell ref="B36:K36"/>
    <mergeCell ref="B18:E18"/>
    <mergeCell ref="B56:E56"/>
    <mergeCell ref="B58:E58"/>
    <mergeCell ref="B59:E59"/>
    <mergeCell ref="B60:E60"/>
    <mergeCell ref="B62:E62"/>
    <mergeCell ref="I53:J53"/>
    <mergeCell ref="K53:L53"/>
    <mergeCell ref="K54:K55"/>
    <mergeCell ref="L54:L55"/>
    <mergeCell ref="G54:G55"/>
    <mergeCell ref="I54:I55"/>
    <mergeCell ref="J54:J55"/>
    <mergeCell ref="F54:F55"/>
    <mergeCell ref="H54:H55"/>
    <mergeCell ref="B54:E55"/>
    <mergeCell ref="B16:E16"/>
    <mergeCell ref="J6:R6"/>
    <mergeCell ref="B6:E8"/>
    <mergeCell ref="B46:E46"/>
    <mergeCell ref="B32:E32"/>
    <mergeCell ref="B33:E33"/>
    <mergeCell ref="F24:F25"/>
    <mergeCell ref="B29:E29"/>
    <mergeCell ref="B30:E30"/>
    <mergeCell ref="B31:E31"/>
    <mergeCell ref="B28:E28"/>
    <mergeCell ref="B24:E25"/>
    <mergeCell ref="B26:E26"/>
    <mergeCell ref="B27:E27"/>
    <mergeCell ref="B14:E14"/>
    <mergeCell ref="B44:E44"/>
    <mergeCell ref="U11:W11"/>
    <mergeCell ref="M39:O39"/>
    <mergeCell ref="P39:R39"/>
    <mergeCell ref="S39:V39"/>
    <mergeCell ref="S24:V24"/>
    <mergeCell ref="U12:W12"/>
    <mergeCell ref="U13:W13"/>
    <mergeCell ref="U14:W14"/>
    <mergeCell ref="P24:R24"/>
    <mergeCell ref="B15:E15"/>
    <mergeCell ref="B12:E12"/>
    <mergeCell ref="B13:E13"/>
    <mergeCell ref="B11:E11"/>
    <mergeCell ref="B4:H4"/>
    <mergeCell ref="F6:I7"/>
    <mergeCell ref="X4:X5"/>
    <mergeCell ref="Y4:Y5"/>
    <mergeCell ref="U10:W10"/>
    <mergeCell ref="P7:R7"/>
    <mergeCell ref="J7:L7"/>
    <mergeCell ref="M7:O7"/>
    <mergeCell ref="B9:E9"/>
    <mergeCell ref="B10:E10"/>
    <mergeCell ref="Z4:Z5"/>
    <mergeCell ref="U4:W5"/>
    <mergeCell ref="U7:W7"/>
    <mergeCell ref="U8:W8"/>
    <mergeCell ref="U9:W9"/>
    <mergeCell ref="G24:I24"/>
    <mergeCell ref="J24:L24"/>
    <mergeCell ref="M24:O24"/>
    <mergeCell ref="B61:E61"/>
    <mergeCell ref="B57:E57"/>
    <mergeCell ref="B47:E47"/>
    <mergeCell ref="B48:E48"/>
    <mergeCell ref="G39:I39"/>
    <mergeCell ref="J39:L39"/>
    <mergeCell ref="F39:F40"/>
    <mergeCell ref="B41:E41"/>
    <mergeCell ref="B42:E42"/>
    <mergeCell ref="B43:E43"/>
    <mergeCell ref="B39:E40"/>
    <mergeCell ref="B45:E45"/>
    <mergeCell ref="B51:H51"/>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sheetPr>
    <tabColor theme="6" tint="0.39997558519241921"/>
    <pageSetUpPr fitToPage="1"/>
  </sheetPr>
  <dimension ref="A1:K81"/>
  <sheetViews>
    <sheetView tabSelected="1" zoomScale="90" zoomScaleNormal="90" workbookViewId="0">
      <selection activeCell="H16" sqref="H16"/>
    </sheetView>
  </sheetViews>
  <sheetFormatPr baseColWidth="10" defaultColWidth="10.625" defaultRowHeight="15.75"/>
  <cols>
    <col min="1" max="1" width="5" style="2" customWidth="1"/>
    <col min="2" max="2" width="28.625" style="2" customWidth="1"/>
    <col min="3" max="4" width="10.5" style="2" customWidth="1"/>
    <col min="5" max="5" width="12" style="2" customWidth="1"/>
    <col min="6" max="6" width="17" style="2" customWidth="1"/>
    <col min="7" max="7" width="46.375" style="773" customWidth="1"/>
    <col min="8" max="16384" width="10.625" style="2"/>
  </cols>
  <sheetData>
    <row r="1" spans="1:11" ht="16.5" thickBot="1"/>
    <row r="2" spans="1:11" ht="18.600000000000001" customHeight="1">
      <c r="A2" s="410"/>
      <c r="B2" s="1189" t="s">
        <v>455</v>
      </c>
      <c r="C2" s="1190"/>
      <c r="D2" s="1190"/>
      <c r="E2" s="1190"/>
      <c r="F2" s="1190"/>
      <c r="G2" s="1191"/>
    </row>
    <row r="3" spans="1:11">
      <c r="A3" s="410"/>
      <c r="B3" s="1192"/>
      <c r="C3" s="1193"/>
      <c r="D3" s="1193"/>
      <c r="E3" s="1193"/>
      <c r="F3" s="1193"/>
      <c r="G3" s="1194"/>
    </row>
    <row r="4" spans="1:11" ht="21.95" customHeight="1" thickBot="1">
      <c r="A4" s="410"/>
      <c r="B4" s="1195"/>
      <c r="C4" s="1196"/>
      <c r="D4" s="1196"/>
      <c r="E4" s="1196"/>
      <c r="F4" s="1196"/>
      <c r="G4" s="1197"/>
    </row>
    <row r="5" spans="1:11" ht="26.1" customHeight="1" thickBot="1">
      <c r="A5" s="410"/>
      <c r="B5" s="1002"/>
      <c r="C5" s="1002"/>
      <c r="D5" s="1002"/>
      <c r="E5" s="1002"/>
      <c r="F5" s="1002"/>
      <c r="G5" s="1141"/>
    </row>
    <row r="6" spans="1:11" ht="17.100000000000001" customHeight="1">
      <c r="A6" s="410"/>
      <c r="B6" s="964"/>
      <c r="C6" s="965"/>
      <c r="D6" s="965"/>
      <c r="E6" s="965"/>
      <c r="F6" s="965"/>
      <c r="G6" s="1142"/>
    </row>
    <row r="7" spans="1:11" ht="26.1" customHeight="1">
      <c r="A7" s="410"/>
      <c r="B7" s="1203" t="s">
        <v>456</v>
      </c>
      <c r="C7" s="1204"/>
      <c r="D7" s="1204"/>
      <c r="E7" s="1204"/>
      <c r="F7" s="1204"/>
      <c r="G7" s="1205"/>
    </row>
    <row r="8" spans="1:11" ht="26.1" customHeight="1">
      <c r="A8" s="410"/>
      <c r="B8" s="1198" t="s">
        <v>500</v>
      </c>
      <c r="C8" s="1199"/>
      <c r="D8" s="1199"/>
      <c r="E8" s="1199"/>
      <c r="F8" s="1199"/>
      <c r="G8" s="1200"/>
    </row>
    <row r="9" spans="1:11" ht="26.1" customHeight="1">
      <c r="A9" s="410"/>
      <c r="B9" s="1180" t="s">
        <v>418</v>
      </c>
      <c r="C9" s="1181"/>
      <c r="D9" s="1181"/>
      <c r="E9" s="1181"/>
      <c r="F9" s="1181"/>
      <c r="G9" s="1182"/>
    </row>
    <row r="10" spans="1:11" ht="26.1" customHeight="1">
      <c r="A10" s="410"/>
      <c r="B10" s="1180" t="s">
        <v>462</v>
      </c>
      <c r="C10" s="1181"/>
      <c r="D10" s="1181"/>
      <c r="E10" s="1181"/>
      <c r="F10" s="1181"/>
      <c r="G10" s="1182"/>
      <c r="H10" s="5"/>
      <c r="I10" s="5"/>
      <c r="J10" s="5"/>
      <c r="K10" s="5"/>
    </row>
    <row r="11" spans="1:11" ht="26.1" customHeight="1">
      <c r="A11" s="410"/>
      <c r="B11" s="995" t="s">
        <v>419</v>
      </c>
      <c r="C11" s="996"/>
      <c r="D11" s="996"/>
      <c r="E11" s="996"/>
      <c r="F11" s="996"/>
      <c r="G11" s="997"/>
      <c r="H11" s="5"/>
      <c r="I11" s="5"/>
      <c r="J11" s="5"/>
      <c r="K11" s="5"/>
    </row>
    <row r="12" spans="1:11" ht="26.1" customHeight="1">
      <c r="A12" s="410"/>
      <c r="B12" s="1206" t="s">
        <v>413</v>
      </c>
      <c r="C12" s="1207"/>
      <c r="D12" s="1207"/>
      <c r="E12" s="1207"/>
      <c r="F12" s="1207"/>
      <c r="G12" s="1208"/>
    </row>
    <row r="13" spans="1:11" ht="26.1" customHeight="1">
      <c r="A13" s="410"/>
      <c r="B13" s="1001"/>
      <c r="C13" s="890"/>
      <c r="D13" s="890"/>
      <c r="E13" s="890"/>
      <c r="F13" s="889"/>
      <c r="G13" s="966"/>
    </row>
    <row r="14" spans="1:11" ht="26.1" customHeight="1">
      <c r="A14" s="410"/>
      <c r="B14" s="1201" t="s">
        <v>421</v>
      </c>
      <c r="C14" s="1202"/>
      <c r="D14" s="890"/>
      <c r="E14" s="890"/>
      <c r="F14" s="890"/>
      <c r="G14" s="967"/>
    </row>
    <row r="15" spans="1:11" s="412" customFormat="1" ht="26.1" customHeight="1">
      <c r="A15" s="1139"/>
      <c r="B15" s="998" t="s">
        <v>446</v>
      </c>
      <c r="C15" s="891"/>
      <c r="D15" s="891"/>
      <c r="E15" s="891"/>
      <c r="F15" s="891"/>
      <c r="G15" s="968"/>
    </row>
    <row r="16" spans="1:11" s="412" customFormat="1" ht="26.1" customHeight="1">
      <c r="A16" s="1139"/>
      <c r="B16" s="998" t="s">
        <v>447</v>
      </c>
      <c r="C16" s="891"/>
      <c r="D16" s="891"/>
      <c r="E16" s="891"/>
      <c r="F16" s="891"/>
      <c r="G16" s="968"/>
    </row>
    <row r="17" spans="1:7" s="412" customFormat="1" ht="26.1" customHeight="1">
      <c r="A17" s="1139"/>
      <c r="B17" s="1186" t="s">
        <v>463</v>
      </c>
      <c r="C17" s="1187"/>
      <c r="D17" s="1187"/>
      <c r="E17" s="1187"/>
      <c r="F17" s="1187"/>
      <c r="G17" s="1188"/>
    </row>
    <row r="18" spans="1:7" s="412" customFormat="1" ht="26.1" customHeight="1">
      <c r="A18" s="1139"/>
      <c r="B18" s="1183" t="s">
        <v>464</v>
      </c>
      <c r="C18" s="1184"/>
      <c r="D18" s="1184"/>
      <c r="E18" s="1184"/>
      <c r="F18" s="1184"/>
      <c r="G18" s="1185"/>
    </row>
    <row r="19" spans="1:7" s="412" customFormat="1" ht="26.1" customHeight="1">
      <c r="A19" s="1139"/>
      <c r="B19" s="1183" t="s">
        <v>499</v>
      </c>
      <c r="C19" s="1184"/>
      <c r="D19" s="1184"/>
      <c r="E19" s="1184"/>
      <c r="F19" s="1184"/>
      <c r="G19" s="1185"/>
    </row>
    <row r="20" spans="1:7" s="412" customFormat="1" ht="26.1" customHeight="1">
      <c r="A20" s="1139"/>
      <c r="B20" s="1143" t="s">
        <v>504</v>
      </c>
      <c r="C20" s="999"/>
      <c r="D20" s="999"/>
      <c r="E20" s="999"/>
      <c r="F20" s="999"/>
      <c r="G20" s="1000"/>
    </row>
    <row r="21" spans="1:7" s="412" customFormat="1" ht="26.1" customHeight="1">
      <c r="A21" s="1139"/>
      <c r="B21" s="1183" t="s">
        <v>503</v>
      </c>
      <c r="C21" s="1184"/>
      <c r="D21" s="1184"/>
      <c r="E21" s="1184"/>
      <c r="F21" s="1184"/>
      <c r="G21" s="1185"/>
    </row>
    <row r="22" spans="1:7" s="412" customFormat="1" ht="26.1" customHeight="1">
      <c r="A22" s="1139"/>
      <c r="B22" s="1186" t="s">
        <v>505</v>
      </c>
      <c r="C22" s="1187"/>
      <c r="D22" s="1187"/>
      <c r="E22" s="1187"/>
      <c r="F22" s="1187"/>
      <c r="G22" s="1188"/>
    </row>
    <row r="23" spans="1:7" s="412" customFormat="1" ht="26.1" customHeight="1">
      <c r="A23" s="1139"/>
      <c r="B23" s="1174" t="s">
        <v>465</v>
      </c>
      <c r="C23" s="1175"/>
      <c r="D23" s="1175"/>
      <c r="E23" s="1175"/>
      <c r="F23" s="1175"/>
      <c r="G23" s="1176"/>
    </row>
    <row r="24" spans="1:7" s="412" customFormat="1" ht="26.1" customHeight="1">
      <c r="A24" s="1139"/>
      <c r="B24" s="1174" t="s">
        <v>502</v>
      </c>
      <c r="C24" s="1175"/>
      <c r="D24" s="1175"/>
      <c r="E24" s="1175"/>
      <c r="F24" s="1175"/>
      <c r="G24" s="1176"/>
    </row>
    <row r="25" spans="1:7" s="412" customFormat="1" ht="26.1" customHeight="1">
      <c r="A25" s="1139"/>
      <c r="B25" s="1183" t="s">
        <v>501</v>
      </c>
      <c r="C25" s="1184"/>
      <c r="D25" s="1184"/>
      <c r="E25" s="1184"/>
      <c r="F25" s="1184"/>
      <c r="G25" s="1185"/>
    </row>
    <row r="26" spans="1:7" s="412" customFormat="1" ht="26.1" customHeight="1">
      <c r="A26" s="1139"/>
      <c r="B26" s="1174" t="s">
        <v>506</v>
      </c>
      <c r="C26" s="1175"/>
      <c r="D26" s="1175"/>
      <c r="E26" s="1175"/>
      <c r="F26" s="1175"/>
      <c r="G26" s="1176"/>
    </row>
    <row r="27" spans="1:7" s="412" customFormat="1" ht="26.1" customHeight="1">
      <c r="A27" s="1139"/>
      <c r="B27" s="1174" t="s">
        <v>507</v>
      </c>
      <c r="C27" s="1175"/>
      <c r="D27" s="1175"/>
      <c r="E27" s="1175"/>
      <c r="F27" s="1175"/>
      <c r="G27" s="1176"/>
    </row>
    <row r="28" spans="1:7" ht="26.1" customHeight="1">
      <c r="A28" s="410"/>
      <c r="B28" s="1138" t="s">
        <v>420</v>
      </c>
      <c r="C28" s="833"/>
      <c r="D28" s="833"/>
      <c r="E28" s="833"/>
      <c r="F28" s="833"/>
      <c r="G28" s="969"/>
    </row>
    <row r="29" spans="1:7" ht="26.1" customHeight="1">
      <c r="A29" s="410"/>
      <c r="B29" s="1183" t="s">
        <v>448</v>
      </c>
      <c r="C29" s="1184"/>
      <c r="D29" s="1184"/>
      <c r="E29" s="1184"/>
      <c r="F29" s="1184"/>
      <c r="G29" s="1185"/>
    </row>
    <row r="30" spans="1:7" ht="26.1" customHeight="1">
      <c r="A30" s="410"/>
      <c r="B30" s="1174" t="s">
        <v>449</v>
      </c>
      <c r="C30" s="1175"/>
      <c r="D30" s="1175"/>
      <c r="E30" s="1175"/>
      <c r="F30" s="1175"/>
      <c r="G30" s="1176"/>
    </row>
    <row r="31" spans="1:7" ht="26.1" customHeight="1">
      <c r="A31" s="410"/>
      <c r="B31" s="1174" t="s">
        <v>498</v>
      </c>
      <c r="C31" s="1175"/>
      <c r="D31" s="1175"/>
      <c r="E31" s="1175"/>
      <c r="F31" s="1175"/>
      <c r="G31" s="1176"/>
    </row>
    <row r="32" spans="1:7" ht="26.1" customHeight="1">
      <c r="A32" s="410"/>
      <c r="B32" s="1174" t="s">
        <v>514</v>
      </c>
      <c r="C32" s="1175"/>
      <c r="D32" s="1175"/>
      <c r="E32" s="1175"/>
      <c r="F32" s="1175"/>
      <c r="G32" s="1176"/>
    </row>
    <row r="33" spans="1:10" ht="26.1" customHeight="1">
      <c r="A33" s="410"/>
      <c r="B33" s="1174" t="s">
        <v>508</v>
      </c>
      <c r="C33" s="1175"/>
      <c r="D33" s="1175"/>
      <c r="E33" s="1175"/>
      <c r="F33" s="1175"/>
      <c r="G33" s="1176"/>
    </row>
    <row r="34" spans="1:10" ht="26.1" customHeight="1">
      <c r="A34" s="410"/>
      <c r="B34" s="1174" t="s">
        <v>450</v>
      </c>
      <c r="C34" s="1175"/>
      <c r="D34" s="1175"/>
      <c r="E34" s="1175"/>
      <c r="F34" s="1175"/>
      <c r="G34" s="1176"/>
    </row>
    <row r="35" spans="1:10" ht="26.1" customHeight="1">
      <c r="A35" s="1140"/>
      <c r="B35" s="1177" t="s">
        <v>466</v>
      </c>
      <c r="C35" s="1178"/>
      <c r="D35" s="1178"/>
      <c r="E35" s="1178"/>
      <c r="F35" s="1178"/>
      <c r="G35" s="1179"/>
    </row>
    <row r="36" spans="1:10" ht="26.1" customHeight="1">
      <c r="A36" s="410"/>
      <c r="B36" s="1174" t="s">
        <v>453</v>
      </c>
      <c r="C36" s="1175"/>
      <c r="D36" s="1175"/>
      <c r="E36" s="1175"/>
      <c r="F36" s="1175"/>
      <c r="G36" s="1176"/>
    </row>
    <row r="37" spans="1:10" ht="26.1" customHeight="1">
      <c r="A37" s="410"/>
      <c r="B37" s="1174" t="s">
        <v>451</v>
      </c>
      <c r="C37" s="1175"/>
      <c r="D37" s="1175"/>
      <c r="E37" s="1175"/>
      <c r="F37" s="1175"/>
      <c r="G37" s="1176"/>
    </row>
    <row r="38" spans="1:10" ht="26.1" customHeight="1">
      <c r="A38" s="410"/>
      <c r="B38" s="1174" t="s">
        <v>452</v>
      </c>
      <c r="C38" s="1175"/>
      <c r="D38" s="1175"/>
      <c r="E38" s="1175"/>
      <c r="F38" s="1175"/>
      <c r="G38" s="1176"/>
    </row>
    <row r="39" spans="1:10" ht="26.1" customHeight="1">
      <c r="A39" s="410"/>
      <c r="B39" s="1174" t="s">
        <v>509</v>
      </c>
      <c r="C39" s="1175"/>
      <c r="D39" s="1175"/>
      <c r="E39" s="1175"/>
      <c r="F39" s="1175"/>
      <c r="G39" s="1176"/>
    </row>
    <row r="40" spans="1:10" ht="26.1" customHeight="1">
      <c r="A40" s="410"/>
      <c r="B40" s="1183" t="s">
        <v>467</v>
      </c>
      <c r="C40" s="1184"/>
      <c r="D40" s="1184"/>
      <c r="E40" s="1184"/>
      <c r="F40" s="1184"/>
      <c r="G40" s="1185"/>
    </row>
    <row r="41" spans="1:10" ht="26.1" customHeight="1">
      <c r="A41" s="410"/>
      <c r="B41" s="1177" t="s">
        <v>510</v>
      </c>
      <c r="C41" s="1178"/>
      <c r="D41" s="1178"/>
      <c r="E41" s="1178"/>
      <c r="F41" s="1178"/>
      <c r="G41" s="1179"/>
    </row>
    <row r="42" spans="1:10" ht="26.1" customHeight="1">
      <c r="A42" s="410"/>
      <c r="B42" s="1174" t="s">
        <v>511</v>
      </c>
      <c r="C42" s="1175"/>
      <c r="D42" s="1175"/>
      <c r="E42" s="1175"/>
      <c r="F42" s="1175"/>
      <c r="G42" s="1176"/>
    </row>
    <row r="43" spans="1:10" ht="26.1" customHeight="1">
      <c r="A43" s="410"/>
      <c r="B43" s="1183" t="s">
        <v>512</v>
      </c>
      <c r="C43" s="1184"/>
      <c r="D43" s="1184"/>
      <c r="E43" s="1184"/>
      <c r="F43" s="1184"/>
      <c r="G43" s="1185"/>
    </row>
    <row r="44" spans="1:10" s="412" customFormat="1" ht="26.1" customHeight="1" thickBot="1">
      <c r="A44" s="1139"/>
      <c r="B44" s="972" t="s">
        <v>513</v>
      </c>
      <c r="C44" s="970"/>
      <c r="D44" s="970"/>
      <c r="E44" s="970"/>
      <c r="F44" s="970"/>
      <c r="G44" s="971"/>
    </row>
    <row r="45" spans="1:10">
      <c r="A45" s="410"/>
    </row>
    <row r="46" spans="1:10">
      <c r="A46" s="410"/>
      <c r="H46" s="5"/>
      <c r="I46" s="5"/>
      <c r="J46" s="5"/>
    </row>
    <row r="47" spans="1:10" ht="27.95" customHeight="1">
      <c r="A47" s="410"/>
      <c r="H47" s="411"/>
      <c r="I47" s="411"/>
      <c r="J47" s="5"/>
    </row>
    <row r="48" spans="1:10">
      <c r="A48" s="410"/>
      <c r="H48" s="5"/>
      <c r="I48" s="5"/>
      <c r="J48" s="5"/>
    </row>
    <row r="49" spans="1:10">
      <c r="A49" s="410"/>
      <c r="H49" s="5"/>
      <c r="I49" s="5"/>
      <c r="J49" s="5"/>
    </row>
    <row r="50" spans="1:10">
      <c r="A50" s="410"/>
      <c r="H50" s="5"/>
      <c r="I50" s="5"/>
      <c r="J50" s="5"/>
    </row>
    <row r="51" spans="1:10">
      <c r="A51" s="410"/>
      <c r="H51" s="5"/>
      <c r="I51" s="5"/>
      <c r="J51" s="5"/>
    </row>
    <row r="52" spans="1:10" ht="45.95" customHeight="1">
      <c r="A52" s="410"/>
    </row>
    <row r="53" spans="1:10">
      <c r="A53" s="410"/>
    </row>
    <row r="54" spans="1:10" ht="9.9499999999999993" customHeight="1">
      <c r="A54" s="410"/>
    </row>
    <row r="55" spans="1:10">
      <c r="A55" s="410"/>
    </row>
    <row r="63" spans="1:10" s="412" customFormat="1" ht="20.45" customHeight="1">
      <c r="B63" s="2"/>
      <c r="C63" s="2"/>
      <c r="D63" s="2"/>
      <c r="E63" s="2"/>
      <c r="F63" s="2"/>
      <c r="G63" s="773"/>
    </row>
    <row r="64" spans="1:10" s="412" customFormat="1" ht="20.100000000000001" customHeight="1">
      <c r="B64" s="2"/>
      <c r="C64" s="2"/>
      <c r="D64" s="2"/>
      <c r="E64" s="2"/>
      <c r="F64" s="2"/>
      <c r="G64" s="773"/>
    </row>
    <row r="65" spans="2:11" s="412" customFormat="1" ht="16.5" customHeight="1">
      <c r="B65" s="2"/>
      <c r="C65" s="2"/>
      <c r="D65" s="2"/>
      <c r="E65" s="2"/>
      <c r="F65" s="2"/>
      <c r="G65" s="773"/>
    </row>
    <row r="66" spans="2:11" s="412" customFormat="1" ht="19.5" customHeight="1">
      <c r="B66" s="2"/>
      <c r="C66" s="2"/>
      <c r="D66" s="2"/>
      <c r="E66" s="2"/>
      <c r="F66" s="2"/>
      <c r="G66" s="773"/>
    </row>
    <row r="67" spans="2:11" ht="20.100000000000001" customHeight="1"/>
    <row r="68" spans="2:11" s="412" customFormat="1" ht="27.6" customHeight="1">
      <c r="B68" s="2"/>
      <c r="C68" s="2"/>
      <c r="D68" s="2"/>
      <c r="E68" s="2"/>
      <c r="F68" s="2"/>
      <c r="G68" s="773"/>
    </row>
    <row r="69" spans="2:11" s="412" customFormat="1" ht="18.600000000000001" customHeight="1">
      <c r="B69" s="2"/>
      <c r="C69" s="2"/>
      <c r="D69" s="2"/>
      <c r="E69" s="2"/>
      <c r="F69" s="2"/>
      <c r="G69" s="773"/>
    </row>
    <row r="70" spans="2:11" s="412" customFormat="1" ht="27.6" customHeight="1">
      <c r="B70" s="2"/>
      <c r="C70" s="2"/>
      <c r="D70" s="2"/>
      <c r="E70" s="2"/>
      <c r="F70" s="2"/>
      <c r="G70" s="773"/>
    </row>
    <row r="71" spans="2:11" ht="15" customHeight="1"/>
    <row r="72" spans="2:11" ht="20.45" customHeight="1"/>
    <row r="73" spans="2:11" ht="22.5" customHeight="1"/>
    <row r="74" spans="2:11">
      <c r="H74" s="410"/>
      <c r="I74" s="410"/>
      <c r="J74" s="410"/>
      <c r="K74" s="410"/>
    </row>
    <row r="75" spans="2:11" ht="17.100000000000001" customHeight="1">
      <c r="H75" s="410"/>
      <c r="I75" s="410"/>
      <c r="J75" s="410"/>
      <c r="K75" s="410"/>
    </row>
    <row r="76" spans="2:11" ht="17.100000000000001" customHeight="1">
      <c r="H76" s="414"/>
      <c r="I76" s="415"/>
      <c r="J76" s="410"/>
      <c r="K76" s="410"/>
    </row>
    <row r="77" spans="2:11" ht="17.100000000000001" customHeight="1">
      <c r="H77" s="414"/>
      <c r="I77" s="415"/>
      <c r="J77" s="410"/>
      <c r="K77" s="410"/>
    </row>
    <row r="78" spans="2:11" ht="17.100000000000001" customHeight="1">
      <c r="H78" s="414"/>
      <c r="I78" s="415"/>
      <c r="J78" s="410"/>
      <c r="K78" s="410"/>
    </row>
    <row r="79" spans="2:11" ht="29.1" customHeight="1">
      <c r="H79" s="414"/>
      <c r="I79" s="416"/>
      <c r="J79" s="410"/>
      <c r="K79" s="410"/>
    </row>
    <row r="80" spans="2:11" ht="17.100000000000001" customHeight="1">
      <c r="H80" s="410"/>
      <c r="I80" s="410"/>
      <c r="J80" s="410"/>
      <c r="K80" s="410"/>
    </row>
    <row r="81" spans="2:7" s="412" customFormat="1" ht="21.95" customHeight="1">
      <c r="B81" s="2"/>
      <c r="C81" s="2"/>
      <c r="D81" s="2"/>
      <c r="E81" s="2"/>
      <c r="F81" s="2"/>
      <c r="G81" s="773"/>
    </row>
  </sheetData>
  <mergeCells count="32">
    <mergeCell ref="B2:G4"/>
    <mergeCell ref="B24:G24"/>
    <mergeCell ref="B8:G8"/>
    <mergeCell ref="B9:G9"/>
    <mergeCell ref="B14:C14"/>
    <mergeCell ref="B17:G17"/>
    <mergeCell ref="B7:G7"/>
    <mergeCell ref="B12:G12"/>
    <mergeCell ref="B21:G21"/>
    <mergeCell ref="B43:G43"/>
    <mergeCell ref="B40:G40"/>
    <mergeCell ref="B42:G42"/>
    <mergeCell ref="B41:G41"/>
    <mergeCell ref="B36:G36"/>
    <mergeCell ref="B39:G39"/>
    <mergeCell ref="B37:G37"/>
    <mergeCell ref="B38:G38"/>
    <mergeCell ref="B31:G31"/>
    <mergeCell ref="B32:G32"/>
    <mergeCell ref="B34:G34"/>
    <mergeCell ref="B35:G35"/>
    <mergeCell ref="B10:G10"/>
    <mergeCell ref="B29:G29"/>
    <mergeCell ref="B30:G30"/>
    <mergeCell ref="B22:G22"/>
    <mergeCell ref="B18:G18"/>
    <mergeCell ref="B19:G19"/>
    <mergeCell ref="B23:G23"/>
    <mergeCell ref="B25:G25"/>
    <mergeCell ref="B26:G26"/>
    <mergeCell ref="B27:G27"/>
    <mergeCell ref="B33:G33"/>
  </mergeCells>
  <phoneticPr fontId="3" type="noConversion"/>
  <printOptions horizontalCentered="1" verticalCentered="1"/>
  <pageMargins left="0.55000000000000004" right="0.55000000000000004" top="0.6100000000000001" bottom="0.6100000000000001" header="0.5" footer="0.5"/>
  <pageSetup paperSize="9" scale="88" orientation="landscape" r:id="rId1"/>
</worksheet>
</file>

<file path=xl/worksheets/sheet3.xml><?xml version="1.0" encoding="utf-8"?>
<worksheet xmlns="http://schemas.openxmlformats.org/spreadsheetml/2006/main" xmlns:r="http://schemas.openxmlformats.org/officeDocument/2006/relationships">
  <sheetPr>
    <tabColor theme="6" tint="0.39997558519241921"/>
  </sheetPr>
  <dimension ref="B1:G16"/>
  <sheetViews>
    <sheetView workbookViewId="0">
      <selection activeCell="G23" sqref="G23"/>
    </sheetView>
  </sheetViews>
  <sheetFormatPr baseColWidth="10" defaultRowHeight="12.75"/>
  <cols>
    <col min="1" max="1" width="5" customWidth="1"/>
    <col min="6" max="6" width="11" customWidth="1"/>
    <col min="7" max="7" width="59.375" customWidth="1"/>
  </cols>
  <sheetData>
    <row r="1" spans="2:7" ht="13.5" thickBot="1"/>
    <row r="2" spans="2:7" ht="18.75">
      <c r="B2" s="1189" t="s">
        <v>454</v>
      </c>
      <c r="C2" s="1190"/>
      <c r="D2" s="1190"/>
      <c r="E2" s="1190"/>
      <c r="F2" s="1190"/>
      <c r="G2" s="1191"/>
    </row>
    <row r="3" spans="2:7" ht="18.75">
      <c r="B3" s="1216" t="s">
        <v>444</v>
      </c>
      <c r="C3" s="1217"/>
      <c r="D3" s="1217"/>
      <c r="E3" s="1217"/>
      <c r="F3" s="1217"/>
      <c r="G3" s="1218"/>
    </row>
    <row r="4" spans="2:7" ht="19.5" thickBot="1">
      <c r="B4" s="1195" t="s">
        <v>445</v>
      </c>
      <c r="C4" s="1196"/>
      <c r="D4" s="1196"/>
      <c r="E4" s="1196"/>
      <c r="F4" s="1196"/>
      <c r="G4" s="1197"/>
    </row>
    <row r="5" spans="2:7" ht="26.1" customHeight="1" thickBot="1"/>
    <row r="6" spans="2:7" ht="17.100000000000001" customHeight="1">
      <c r="B6" s="1225"/>
      <c r="C6" s="1226"/>
      <c r="D6" s="1226"/>
      <c r="E6" s="1226"/>
      <c r="F6" s="1226"/>
      <c r="G6" s="1227"/>
    </row>
    <row r="7" spans="2:7" ht="18.75">
      <c r="B7" s="1222" t="s">
        <v>515</v>
      </c>
      <c r="C7" s="1223"/>
      <c r="D7" s="1223"/>
      <c r="E7" s="1223"/>
      <c r="F7" s="1223"/>
      <c r="G7" s="1224"/>
    </row>
    <row r="8" spans="2:7" ht="18.75">
      <c r="B8" s="1219" t="s">
        <v>411</v>
      </c>
      <c r="C8" s="1220"/>
      <c r="D8" s="1220"/>
      <c r="E8" s="1220"/>
      <c r="F8" s="1220"/>
      <c r="G8" s="1221"/>
    </row>
    <row r="9" spans="2:7" ht="18.75">
      <c r="B9" s="1144" t="s">
        <v>412</v>
      </c>
      <c r="C9" s="1145"/>
      <c r="D9" s="1145"/>
      <c r="E9" s="1145"/>
      <c r="F9" s="1145"/>
      <c r="G9" s="1146"/>
    </row>
    <row r="10" spans="2:7" ht="18.75">
      <c r="B10" s="1144" t="s">
        <v>475</v>
      </c>
      <c r="C10" s="1145"/>
      <c r="D10" s="1145"/>
      <c r="E10" s="1145"/>
      <c r="F10" s="1147"/>
      <c r="G10" s="1146"/>
    </row>
    <row r="11" spans="2:7" ht="18.75">
      <c r="B11" s="1210" t="s">
        <v>476</v>
      </c>
      <c r="C11" s="1211"/>
      <c r="D11" s="1211"/>
      <c r="E11" s="1211"/>
      <c r="F11" s="1211"/>
      <c r="G11" s="1212"/>
    </row>
    <row r="12" spans="2:7" ht="18.75">
      <c r="B12" s="1219" t="s">
        <v>477</v>
      </c>
      <c r="C12" s="1220"/>
      <c r="D12" s="1220"/>
      <c r="E12" s="1220"/>
      <c r="F12" s="1220"/>
      <c r="G12" s="1221"/>
    </row>
    <row r="13" spans="2:7" ht="18.75">
      <c r="B13" s="1210" t="s">
        <v>478</v>
      </c>
      <c r="C13" s="1211"/>
      <c r="D13" s="1211"/>
      <c r="E13" s="1211"/>
      <c r="F13" s="1211"/>
      <c r="G13" s="1212"/>
    </row>
    <row r="14" spans="2:7" ht="19.5" thickBot="1">
      <c r="B14" s="1213" t="s">
        <v>479</v>
      </c>
      <c r="C14" s="1214"/>
      <c r="D14" s="1214"/>
      <c r="E14" s="1214"/>
      <c r="F14" s="1214"/>
      <c r="G14" s="1215"/>
    </row>
    <row r="16" spans="2:7" ht="39" customHeight="1">
      <c r="B16" s="1209" t="s">
        <v>516</v>
      </c>
      <c r="C16" s="1209"/>
      <c r="D16" s="1209"/>
      <c r="E16" s="1209"/>
      <c r="F16" s="1209"/>
      <c r="G16" s="1209"/>
    </row>
  </sheetData>
  <mergeCells count="11">
    <mergeCell ref="B16:G16"/>
    <mergeCell ref="B13:G13"/>
    <mergeCell ref="B14:G14"/>
    <mergeCell ref="B2:G2"/>
    <mergeCell ref="B3:G3"/>
    <mergeCell ref="B4:G4"/>
    <mergeCell ref="B8:G8"/>
    <mergeCell ref="B11:G11"/>
    <mergeCell ref="B12:G12"/>
    <mergeCell ref="B7:G7"/>
    <mergeCell ref="B6:G6"/>
  </mergeCell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sheetPr>
    <tabColor theme="6" tint="0.39997558519241921"/>
    <pageSetUpPr fitToPage="1"/>
  </sheetPr>
  <dimension ref="B1:L119"/>
  <sheetViews>
    <sheetView topLeftCell="C4" workbookViewId="0">
      <selection activeCell="F57" sqref="F57:K57"/>
    </sheetView>
  </sheetViews>
  <sheetFormatPr baseColWidth="10" defaultColWidth="10.625" defaultRowHeight="15"/>
  <cols>
    <col min="1" max="1" width="1.375" style="6" customWidth="1"/>
    <col min="2" max="2" width="59" style="9" customWidth="1"/>
    <col min="3" max="3" width="2.125" style="6" customWidth="1"/>
    <col min="4" max="4" width="58" style="9" customWidth="1"/>
    <col min="5" max="5" width="12.5" style="11" customWidth="1"/>
    <col min="6" max="6" width="11.625" style="11" customWidth="1"/>
    <col min="7" max="7" width="11.5" style="10" customWidth="1"/>
    <col min="8" max="8" width="10.875" style="10" customWidth="1"/>
    <col min="9" max="9" width="7.875" style="11" customWidth="1"/>
    <col min="10" max="10" width="5.875" style="11" customWidth="1"/>
    <col min="11" max="11" width="12" style="11" customWidth="1"/>
    <col min="12" max="12" width="42" style="38" customWidth="1"/>
    <col min="13" max="13" width="3.5" style="6" customWidth="1"/>
    <col min="14" max="16384" width="10.625" style="6"/>
  </cols>
  <sheetData>
    <row r="1" spans="2:12" ht="15.75" thickBot="1"/>
    <row r="2" spans="2:12" ht="21.75" thickBot="1">
      <c r="D2" s="1265" t="s">
        <v>425</v>
      </c>
      <c r="E2" s="1266"/>
      <c r="F2" s="1266"/>
      <c r="G2" s="1266"/>
      <c r="H2" s="1266"/>
      <c r="I2" s="1266"/>
      <c r="J2" s="1266"/>
      <c r="K2" s="1266"/>
      <c r="L2" s="1267"/>
    </row>
    <row r="3" spans="2:12" ht="15.75" thickBot="1">
      <c r="B3" s="29" t="s">
        <v>50</v>
      </c>
    </row>
    <row r="4" spans="2:12" s="8" customFormat="1" ht="30.75" thickBot="1">
      <c r="B4" s="28" t="s">
        <v>57</v>
      </c>
      <c r="D4" s="35" t="s">
        <v>36</v>
      </c>
      <c r="E4" s="321"/>
      <c r="F4" s="321" t="s">
        <v>406</v>
      </c>
      <c r="G4" s="321" t="s">
        <v>127</v>
      </c>
      <c r="H4" s="815" t="s">
        <v>426</v>
      </c>
      <c r="I4" s="22"/>
      <c r="J4" s="1241"/>
      <c r="K4" s="1243"/>
      <c r="L4" s="611" t="s">
        <v>9</v>
      </c>
    </row>
    <row r="5" spans="2:12">
      <c r="B5" s="24" t="s">
        <v>56</v>
      </c>
      <c r="D5" s="578" t="s">
        <v>46</v>
      </c>
      <c r="E5" s="837">
        <f>+E110</f>
        <v>2020</v>
      </c>
      <c r="F5" s="605"/>
      <c r="G5" s="589"/>
      <c r="H5" s="557"/>
      <c r="I5" s="840"/>
      <c r="J5" s="1281"/>
      <c r="K5" s="1282"/>
      <c r="L5" s="612" t="s">
        <v>14</v>
      </c>
    </row>
    <row r="6" spans="2:12">
      <c r="B6" s="24" t="s">
        <v>13</v>
      </c>
      <c r="D6" s="564" t="s">
        <v>355</v>
      </c>
      <c r="E6" s="404"/>
      <c r="F6" s="607"/>
      <c r="G6" s="617"/>
      <c r="H6" s="608"/>
      <c r="I6" s="610"/>
      <c r="J6" s="1283"/>
      <c r="K6" s="1284"/>
      <c r="L6" s="613" t="s">
        <v>19</v>
      </c>
    </row>
    <row r="7" spans="2:12">
      <c r="B7" s="24" t="s">
        <v>31</v>
      </c>
      <c r="D7" s="602" t="s">
        <v>51</v>
      </c>
      <c r="E7" s="771" t="s">
        <v>407</v>
      </c>
      <c r="F7" s="839">
        <v>2019</v>
      </c>
      <c r="G7" s="834">
        <v>69550</v>
      </c>
      <c r="H7" s="963">
        <v>5.0000000000000001E-3</v>
      </c>
      <c r="I7" s="836"/>
      <c r="J7" s="1285"/>
      <c r="K7" s="1286"/>
      <c r="L7" s="680" t="s">
        <v>15</v>
      </c>
    </row>
    <row r="8" spans="2:12">
      <c r="B8" s="24" t="s">
        <v>283</v>
      </c>
      <c r="D8" s="603" t="s">
        <v>52</v>
      </c>
      <c r="E8" s="772" t="s">
        <v>408</v>
      </c>
      <c r="F8" s="839">
        <v>2019</v>
      </c>
      <c r="G8" s="834">
        <v>27910</v>
      </c>
      <c r="H8" s="963">
        <v>4.0000000000000001E-3</v>
      </c>
      <c r="I8" s="836"/>
      <c r="J8" s="1285"/>
      <c r="K8" s="1286"/>
      <c r="L8" s="681" t="s">
        <v>16</v>
      </c>
    </row>
    <row r="9" spans="2:12">
      <c r="B9" s="24" t="s">
        <v>39</v>
      </c>
      <c r="D9" s="602" t="s">
        <v>53</v>
      </c>
      <c r="E9" s="772" t="s">
        <v>409</v>
      </c>
      <c r="F9" s="839">
        <v>2019</v>
      </c>
      <c r="G9" s="835">
        <v>6540</v>
      </c>
      <c r="H9" s="963">
        <v>3.0000000000000001E-3</v>
      </c>
      <c r="I9" s="836"/>
      <c r="J9" s="1285"/>
      <c r="K9" s="1286"/>
      <c r="L9" s="680" t="s">
        <v>17</v>
      </c>
    </row>
    <row r="10" spans="2:12" ht="15.75" thickBot="1">
      <c r="B10" s="24"/>
      <c r="D10" s="604"/>
      <c r="E10" s="588" t="s">
        <v>189</v>
      </c>
      <c r="F10" s="838"/>
      <c r="G10" s="1173">
        <f>+SUM(G7:G9)</f>
        <v>104000</v>
      </c>
      <c r="H10" s="1148"/>
      <c r="I10" s="588"/>
      <c r="J10" s="1260"/>
      <c r="K10" s="1261"/>
      <c r="L10" s="614" t="s">
        <v>18</v>
      </c>
    </row>
    <row r="11" spans="2:12" ht="15.75" thickBot="1">
      <c r="B11" s="24"/>
      <c r="E11" s="327"/>
      <c r="F11" s="327"/>
      <c r="I11" s="327"/>
      <c r="J11" s="327"/>
      <c r="K11" s="327"/>
    </row>
    <row r="12" spans="2:12" s="8" customFormat="1" ht="30.75" thickBot="1">
      <c r="B12" s="28" t="s">
        <v>57</v>
      </c>
      <c r="D12" s="22" t="s">
        <v>36</v>
      </c>
      <c r="E12" s="1238"/>
      <c r="F12" s="1255"/>
      <c r="G12" s="321" t="s">
        <v>389</v>
      </c>
      <c r="H12" s="1254"/>
      <c r="I12" s="1238"/>
      <c r="J12" s="1238"/>
      <c r="K12" s="22" t="s">
        <v>49</v>
      </c>
      <c r="L12" s="611" t="s">
        <v>9</v>
      </c>
    </row>
    <row r="13" spans="2:12">
      <c r="B13" s="24"/>
      <c r="D13" s="621" t="s">
        <v>58</v>
      </c>
      <c r="E13" s="1277"/>
      <c r="F13" s="1278"/>
      <c r="G13" s="589"/>
      <c r="H13" s="1271"/>
      <c r="I13" s="1272"/>
      <c r="J13" s="1272"/>
      <c r="K13" s="558"/>
      <c r="L13" s="592" t="s">
        <v>378</v>
      </c>
    </row>
    <row r="14" spans="2:12" ht="17.25">
      <c r="B14" s="24" t="s">
        <v>41</v>
      </c>
      <c r="D14" s="622" t="s">
        <v>60</v>
      </c>
      <c r="E14" s="1279"/>
      <c r="F14" s="1280"/>
      <c r="G14" s="590"/>
      <c r="H14" s="1273"/>
      <c r="I14" s="1274"/>
      <c r="J14" s="1274"/>
      <c r="K14" s="618">
        <v>12000</v>
      </c>
      <c r="L14" s="619" t="s">
        <v>380</v>
      </c>
    </row>
    <row r="15" spans="2:12" ht="30.75" thickBot="1">
      <c r="B15" s="24" t="s">
        <v>32</v>
      </c>
      <c r="D15" s="623" t="s">
        <v>78</v>
      </c>
      <c r="E15" s="1239"/>
      <c r="F15" s="1240"/>
      <c r="G15" s="682">
        <v>15</v>
      </c>
      <c r="H15" s="1275"/>
      <c r="I15" s="1276"/>
      <c r="J15" s="1276"/>
      <c r="K15" s="552"/>
      <c r="L15" s="620" t="s">
        <v>379</v>
      </c>
    </row>
    <row r="16" spans="2:12" ht="15.75" thickBot="1">
      <c r="B16" s="24"/>
      <c r="E16" s="327"/>
      <c r="F16" s="327"/>
      <c r="I16" s="327"/>
      <c r="J16" s="327"/>
      <c r="K16" s="327"/>
    </row>
    <row r="17" spans="2:12" s="8" customFormat="1" ht="30.75" thickBot="1">
      <c r="B17" s="28" t="s">
        <v>57</v>
      </c>
      <c r="D17" s="22" t="s">
        <v>36</v>
      </c>
      <c r="E17" s="321" t="s">
        <v>386</v>
      </c>
      <c r="F17" s="629"/>
      <c r="G17" s="321" t="s">
        <v>126</v>
      </c>
      <c r="H17" s="321"/>
      <c r="I17" s="1242"/>
      <c r="J17" s="1242"/>
      <c r="K17" s="1242"/>
      <c r="L17" s="37" t="s">
        <v>9</v>
      </c>
    </row>
    <row r="18" spans="2:12" ht="30">
      <c r="B18" s="24"/>
      <c r="D18" s="621" t="s">
        <v>79</v>
      </c>
      <c r="E18" s="628"/>
      <c r="F18" s="630"/>
      <c r="G18" s="634"/>
      <c r="H18" s="634"/>
      <c r="I18" s="1232"/>
      <c r="J18" s="1232"/>
      <c r="K18" s="1232"/>
      <c r="L18" s="640" t="s">
        <v>300</v>
      </c>
    </row>
    <row r="19" spans="2:12" ht="30">
      <c r="B19" s="24" t="s">
        <v>284</v>
      </c>
      <c r="D19" s="622" t="s">
        <v>387</v>
      </c>
      <c r="E19" s="818">
        <v>0.1</v>
      </c>
      <c r="F19" s="631"/>
      <c r="G19" s="403"/>
      <c r="H19" s="403"/>
      <c r="I19" s="1248"/>
      <c r="J19" s="1248"/>
      <c r="K19" s="1248"/>
      <c r="L19" s="641" t="s">
        <v>338</v>
      </c>
    </row>
    <row r="20" spans="2:12" ht="45">
      <c r="B20" s="24" t="s">
        <v>274</v>
      </c>
      <c r="D20" s="622" t="s">
        <v>388</v>
      </c>
      <c r="E20" s="565"/>
      <c r="F20" s="631"/>
      <c r="G20" s="635">
        <v>800000</v>
      </c>
      <c r="H20" s="636"/>
      <c r="I20" s="1256" t="s">
        <v>381</v>
      </c>
      <c r="J20" s="1256"/>
      <c r="K20" s="1256"/>
      <c r="L20" s="642" t="s">
        <v>382</v>
      </c>
    </row>
    <row r="21" spans="2:12" ht="60">
      <c r="B21" s="58" t="s">
        <v>275</v>
      </c>
      <c r="D21" s="622" t="s">
        <v>287</v>
      </c>
      <c r="E21" s="819">
        <v>7.8E-2</v>
      </c>
      <c r="F21" s="631"/>
      <c r="G21" s="730"/>
      <c r="H21" s="636"/>
      <c r="I21" s="1248"/>
      <c r="J21" s="1248"/>
      <c r="K21" s="1248"/>
      <c r="L21" s="643" t="s">
        <v>301</v>
      </c>
    </row>
    <row r="22" spans="2:12" ht="45">
      <c r="B22" s="58" t="s">
        <v>295</v>
      </c>
      <c r="D22" s="622" t="s">
        <v>250</v>
      </c>
      <c r="E22" s="820">
        <v>5.2999999999999999E-2</v>
      </c>
      <c r="F22" s="631"/>
      <c r="G22" s="730"/>
      <c r="H22" s="636"/>
      <c r="I22" s="1248"/>
      <c r="J22" s="1248"/>
      <c r="K22" s="1248"/>
      <c r="L22" s="641" t="s">
        <v>302</v>
      </c>
    </row>
    <row r="23" spans="2:12" ht="75">
      <c r="B23" s="58" t="s">
        <v>278</v>
      </c>
      <c r="D23" s="622" t="s">
        <v>288</v>
      </c>
      <c r="E23" s="818">
        <v>9.4899999999999998E-2</v>
      </c>
      <c r="F23" s="631"/>
      <c r="G23" s="730"/>
      <c r="H23" s="639"/>
      <c r="I23" s="1257"/>
      <c r="J23" s="1257"/>
      <c r="K23" s="1257"/>
      <c r="L23" s="644" t="s">
        <v>303</v>
      </c>
    </row>
    <row r="24" spans="2:12" ht="60.75" thickBot="1">
      <c r="B24" s="58" t="s">
        <v>279</v>
      </c>
      <c r="D24" s="623" t="s">
        <v>337</v>
      </c>
      <c r="E24" s="821">
        <v>4.4999999999999998E-2</v>
      </c>
      <c r="F24" s="633"/>
      <c r="G24" s="730"/>
      <c r="H24" s="655"/>
      <c r="I24" s="1262"/>
      <c r="J24" s="1262"/>
      <c r="K24" s="1262"/>
      <c r="L24" s="653" t="s">
        <v>304</v>
      </c>
    </row>
    <row r="25" spans="2:12">
      <c r="B25" s="25"/>
      <c r="D25" s="621" t="s">
        <v>231</v>
      </c>
      <c r="E25" s="555"/>
      <c r="F25" s="630"/>
      <c r="G25" s="589"/>
      <c r="H25" s="589"/>
      <c r="I25" s="1229"/>
      <c r="J25" s="1229"/>
      <c r="K25" s="1229"/>
      <c r="L25" s="654" t="s">
        <v>305</v>
      </c>
    </row>
    <row r="26" spans="2:12" ht="60">
      <c r="B26" s="25" t="s">
        <v>280</v>
      </c>
      <c r="D26" s="624" t="s">
        <v>289</v>
      </c>
      <c r="E26" s="565"/>
      <c r="F26" s="631"/>
      <c r="G26" s="730"/>
      <c r="H26" s="403"/>
      <c r="I26" s="1248"/>
      <c r="J26" s="1248"/>
      <c r="K26" s="1248"/>
      <c r="L26" s="641" t="s">
        <v>306</v>
      </c>
    </row>
    <row r="27" spans="2:12">
      <c r="B27" s="25" t="s">
        <v>276</v>
      </c>
      <c r="D27" s="622" t="s">
        <v>75</v>
      </c>
      <c r="E27" s="818">
        <v>0.09</v>
      </c>
      <c r="F27" s="631"/>
      <c r="G27" s="730"/>
      <c r="H27" s="403"/>
      <c r="I27" s="1248"/>
      <c r="J27" s="1248"/>
      <c r="K27" s="1248"/>
      <c r="L27" s="544" t="s">
        <v>308</v>
      </c>
    </row>
    <row r="28" spans="2:12" ht="30">
      <c r="B28" s="25" t="s">
        <v>281</v>
      </c>
      <c r="D28" s="622" t="s">
        <v>76</v>
      </c>
      <c r="E28" s="818">
        <v>0.05</v>
      </c>
      <c r="F28" s="631"/>
      <c r="G28" s="731"/>
      <c r="H28" s="403"/>
      <c r="I28" s="1248"/>
      <c r="J28" s="1248"/>
      <c r="K28" s="1248"/>
      <c r="L28" s="544" t="s">
        <v>309</v>
      </c>
    </row>
    <row r="29" spans="2:12" ht="30">
      <c r="B29" s="25" t="s">
        <v>277</v>
      </c>
      <c r="D29" s="622" t="s">
        <v>251</v>
      </c>
      <c r="E29" s="818">
        <v>0.05</v>
      </c>
      <c r="F29" s="631"/>
      <c r="G29" s="731"/>
      <c r="H29" s="403"/>
      <c r="I29" s="1248"/>
      <c r="J29" s="1248"/>
      <c r="K29" s="1248"/>
      <c r="L29" s="641" t="s">
        <v>307</v>
      </c>
    </row>
    <row r="30" spans="2:12" ht="15.75" thickBot="1">
      <c r="B30" s="25"/>
      <c r="D30" s="894" t="s">
        <v>461</v>
      </c>
      <c r="E30" s="895">
        <v>0</v>
      </c>
      <c r="F30" s="896"/>
      <c r="G30" s="897"/>
      <c r="H30" s="898"/>
      <c r="I30" s="899"/>
      <c r="J30" s="899"/>
      <c r="K30" s="899"/>
      <c r="L30" s="900"/>
    </row>
    <row r="31" spans="2:12" ht="45">
      <c r="B31" s="25" t="s">
        <v>296</v>
      </c>
      <c r="D31" s="649" t="s">
        <v>232</v>
      </c>
      <c r="E31" s="822">
        <v>6.7000000000000004E-2</v>
      </c>
      <c r="F31" s="650"/>
      <c r="G31" s="648"/>
      <c r="H31" s="648"/>
      <c r="I31" s="1229"/>
      <c r="J31" s="1229"/>
      <c r="K31" s="1229"/>
      <c r="L31" s="651" t="s">
        <v>310</v>
      </c>
    </row>
    <row r="32" spans="2:12" ht="30">
      <c r="B32" s="25" t="s">
        <v>297</v>
      </c>
      <c r="D32" s="622" t="s">
        <v>233</v>
      </c>
      <c r="E32" s="818">
        <v>5.2999999999999999E-2</v>
      </c>
      <c r="F32" s="632"/>
      <c r="G32" s="403"/>
      <c r="H32" s="403"/>
      <c r="I32" s="1248"/>
      <c r="J32" s="1248"/>
      <c r="K32" s="1248"/>
      <c r="L32" s="641" t="s">
        <v>311</v>
      </c>
    </row>
    <row r="33" spans="2:12" ht="30.75" thickBot="1">
      <c r="B33" s="25" t="s">
        <v>298</v>
      </c>
      <c r="D33" s="623" t="s">
        <v>282</v>
      </c>
      <c r="E33" s="821">
        <v>0.03</v>
      </c>
      <c r="F33" s="652"/>
      <c r="G33" s="638"/>
      <c r="H33" s="638"/>
      <c r="I33" s="1252"/>
      <c r="J33" s="1252"/>
      <c r="K33" s="1252"/>
      <c r="L33" s="653" t="s">
        <v>312</v>
      </c>
    </row>
    <row r="34" spans="2:12">
      <c r="B34" s="1268" t="s">
        <v>299</v>
      </c>
      <c r="D34" s="625" t="s">
        <v>77</v>
      </c>
      <c r="E34" s="646"/>
      <c r="F34" s="647"/>
      <c r="G34" s="648"/>
      <c r="H34" s="648"/>
      <c r="I34" s="1229"/>
      <c r="J34" s="1229"/>
      <c r="K34" s="1229"/>
      <c r="L34" s="542" t="s">
        <v>358</v>
      </c>
    </row>
    <row r="35" spans="2:12" ht="60">
      <c r="B35" s="1269"/>
      <c r="D35" s="622" t="s">
        <v>191</v>
      </c>
      <c r="E35" s="823">
        <v>0.19</v>
      </c>
      <c r="F35" s="631"/>
      <c r="G35" s="637"/>
      <c r="H35" s="403"/>
      <c r="I35" s="1248"/>
      <c r="J35" s="1248"/>
      <c r="K35" s="1248"/>
      <c r="L35" s="641" t="s">
        <v>356</v>
      </c>
    </row>
    <row r="36" spans="2:12" ht="45">
      <c r="B36" s="1269"/>
      <c r="D36" s="622" t="s">
        <v>285</v>
      </c>
      <c r="E36" s="823">
        <v>0.13</v>
      </c>
      <c r="F36" s="631"/>
      <c r="G36" s="403"/>
      <c r="H36" s="403"/>
      <c r="I36" s="1248"/>
      <c r="J36" s="1248"/>
      <c r="K36" s="1248"/>
      <c r="L36" s="645" t="s">
        <v>357</v>
      </c>
    </row>
    <row r="37" spans="2:12">
      <c r="B37" s="1269"/>
      <c r="D37" s="622" t="s">
        <v>390</v>
      </c>
      <c r="E37" s="823">
        <v>0</v>
      </c>
      <c r="F37" s="631"/>
      <c r="G37" s="403"/>
      <c r="H37" s="403"/>
      <c r="I37" s="1248"/>
      <c r="J37" s="1248"/>
      <c r="K37" s="1248"/>
      <c r="L37" s="418" t="s">
        <v>359</v>
      </c>
    </row>
    <row r="38" spans="2:12">
      <c r="B38" s="1269"/>
      <c r="D38" s="622" t="s">
        <v>180</v>
      </c>
      <c r="E38" s="823">
        <v>0</v>
      </c>
      <c r="F38" s="631"/>
      <c r="G38" s="403"/>
      <c r="H38" s="403"/>
      <c r="I38" s="1248"/>
      <c r="J38" s="1248"/>
      <c r="K38" s="1248"/>
      <c r="L38" s="418" t="s">
        <v>360</v>
      </c>
    </row>
    <row r="39" spans="2:12" ht="15.75" thickBot="1">
      <c r="B39" s="1270"/>
      <c r="D39" s="623" t="s">
        <v>185</v>
      </c>
      <c r="E39" s="824">
        <v>0.19</v>
      </c>
      <c r="F39" s="633"/>
      <c r="G39" s="638"/>
      <c r="H39" s="638"/>
      <c r="I39" s="1252"/>
      <c r="J39" s="1252"/>
      <c r="K39" s="1252"/>
      <c r="L39" s="419" t="s">
        <v>361</v>
      </c>
    </row>
    <row r="40" spans="2:12">
      <c r="B40" s="25"/>
      <c r="D40" s="625" t="s">
        <v>286</v>
      </c>
      <c r="E40" s="540"/>
      <c r="F40" s="1258"/>
      <c r="G40" s="1258"/>
      <c r="H40" s="1258"/>
      <c r="I40" s="1258"/>
      <c r="J40" s="1258"/>
      <c r="K40" s="1259"/>
      <c r="L40" s="542" t="s">
        <v>362</v>
      </c>
    </row>
    <row r="41" spans="2:12">
      <c r="B41" s="1268" t="s">
        <v>252</v>
      </c>
      <c r="D41" s="624" t="s">
        <v>84</v>
      </c>
      <c r="E41" s="543"/>
      <c r="F41" s="1246"/>
      <c r="G41" s="1246"/>
      <c r="H41" s="1246"/>
      <c r="I41" s="1246"/>
      <c r="J41" s="1246"/>
      <c r="K41" s="1247"/>
      <c r="L41" s="544" t="s">
        <v>363</v>
      </c>
    </row>
    <row r="42" spans="2:12">
      <c r="B42" s="1269"/>
      <c r="D42" s="624" t="s">
        <v>81</v>
      </c>
      <c r="E42" s="545">
        <v>1</v>
      </c>
      <c r="F42" s="1246"/>
      <c r="G42" s="1246"/>
      <c r="H42" s="1246"/>
      <c r="I42" s="1246"/>
      <c r="J42" s="1246"/>
      <c r="K42" s="1247"/>
      <c r="L42" s="546" t="s">
        <v>364</v>
      </c>
    </row>
    <row r="43" spans="2:12">
      <c r="B43" s="1269"/>
      <c r="D43" s="624" t="s">
        <v>82</v>
      </c>
      <c r="E43" s="545">
        <v>0</v>
      </c>
      <c r="F43" s="1246"/>
      <c r="G43" s="1246"/>
      <c r="H43" s="1246"/>
      <c r="I43" s="1246"/>
      <c r="J43" s="1246"/>
      <c r="K43" s="1247"/>
      <c r="L43" s="546" t="s">
        <v>365</v>
      </c>
    </row>
    <row r="44" spans="2:12">
      <c r="B44" s="1269"/>
      <c r="D44" s="624" t="s">
        <v>83</v>
      </c>
      <c r="E44" s="545">
        <v>0</v>
      </c>
      <c r="F44" s="1246"/>
      <c r="G44" s="1246"/>
      <c r="H44" s="1246"/>
      <c r="I44" s="1246"/>
      <c r="J44" s="1246"/>
      <c r="K44" s="1247"/>
      <c r="L44" s="546" t="s">
        <v>366</v>
      </c>
    </row>
    <row r="45" spans="2:12" ht="30">
      <c r="B45" s="1269"/>
      <c r="D45" s="626" t="s">
        <v>86</v>
      </c>
      <c r="E45" s="543"/>
      <c r="F45" s="1246"/>
      <c r="G45" s="1246"/>
      <c r="H45" s="1246"/>
      <c r="I45" s="1246"/>
      <c r="J45" s="1246"/>
      <c r="K45" s="1247"/>
      <c r="L45" s="544" t="s">
        <v>367</v>
      </c>
    </row>
    <row r="46" spans="2:12">
      <c r="B46" s="1269"/>
      <c r="D46" s="624" t="s">
        <v>81</v>
      </c>
      <c r="E46" s="545">
        <v>1</v>
      </c>
      <c r="F46" s="1246"/>
      <c r="G46" s="1246"/>
      <c r="H46" s="1246"/>
      <c r="I46" s="1246"/>
      <c r="J46" s="1246"/>
      <c r="K46" s="1247"/>
      <c r="L46" s="546" t="s">
        <v>364</v>
      </c>
    </row>
    <row r="47" spans="2:12">
      <c r="B47" s="1269"/>
      <c r="D47" s="624" t="s">
        <v>82</v>
      </c>
      <c r="E47" s="545">
        <v>0</v>
      </c>
      <c r="F47" s="1246"/>
      <c r="G47" s="1246"/>
      <c r="H47" s="1246"/>
      <c r="I47" s="1246"/>
      <c r="J47" s="1246"/>
      <c r="K47" s="1247"/>
      <c r="L47" s="546" t="s">
        <v>365</v>
      </c>
    </row>
    <row r="48" spans="2:12">
      <c r="B48" s="1269"/>
      <c r="D48" s="624" t="s">
        <v>83</v>
      </c>
      <c r="E48" s="545">
        <v>0</v>
      </c>
      <c r="F48" s="1246"/>
      <c r="G48" s="1246"/>
      <c r="H48" s="1246"/>
      <c r="I48" s="1246"/>
      <c r="J48" s="1246"/>
      <c r="K48" s="1247"/>
      <c r="L48" s="546" t="s">
        <v>366</v>
      </c>
    </row>
    <row r="49" spans="2:12">
      <c r="B49" s="1269"/>
      <c r="D49" s="624" t="s">
        <v>85</v>
      </c>
      <c r="E49" s="547" t="s">
        <v>87</v>
      </c>
      <c r="F49" s="1246"/>
      <c r="G49" s="1246"/>
      <c r="H49" s="1246"/>
      <c r="I49" s="1246"/>
      <c r="J49" s="1246"/>
      <c r="K49" s="1247"/>
      <c r="L49" s="544" t="s">
        <v>368</v>
      </c>
    </row>
    <row r="50" spans="2:12">
      <c r="B50" s="1269"/>
      <c r="D50" s="624" t="s">
        <v>81</v>
      </c>
      <c r="E50" s="545">
        <v>0</v>
      </c>
      <c r="F50" s="1246"/>
      <c r="G50" s="1246"/>
      <c r="H50" s="1246"/>
      <c r="I50" s="1246"/>
      <c r="J50" s="1246"/>
      <c r="K50" s="1247"/>
      <c r="L50" s="546" t="s">
        <v>364</v>
      </c>
    </row>
    <row r="51" spans="2:12">
      <c r="B51" s="1269"/>
      <c r="D51" s="624" t="s">
        <v>82</v>
      </c>
      <c r="E51" s="545">
        <v>0.8</v>
      </c>
      <c r="F51" s="1246"/>
      <c r="G51" s="1246"/>
      <c r="H51" s="1246"/>
      <c r="I51" s="1246"/>
      <c r="J51" s="1246"/>
      <c r="K51" s="1247"/>
      <c r="L51" s="546" t="s">
        <v>365</v>
      </c>
    </row>
    <row r="52" spans="2:12">
      <c r="B52" s="1269"/>
      <c r="D52" s="624" t="s">
        <v>83</v>
      </c>
      <c r="E52" s="545">
        <v>0.2</v>
      </c>
      <c r="F52" s="1246"/>
      <c r="G52" s="1246"/>
      <c r="H52" s="1246"/>
      <c r="I52" s="1246"/>
      <c r="J52" s="1246"/>
      <c r="K52" s="1247"/>
      <c r="L52" s="546" t="s">
        <v>366</v>
      </c>
    </row>
    <row r="53" spans="2:12">
      <c r="B53" s="1269"/>
      <c r="D53" s="624" t="s">
        <v>190</v>
      </c>
      <c r="E53" s="548" t="s">
        <v>87</v>
      </c>
      <c r="F53" s="1246"/>
      <c r="G53" s="1246"/>
      <c r="H53" s="1246"/>
      <c r="I53" s="1246"/>
      <c r="J53" s="1246"/>
      <c r="K53" s="1247"/>
      <c r="L53" s="544" t="s">
        <v>369</v>
      </c>
    </row>
    <row r="54" spans="2:12">
      <c r="B54" s="1269"/>
      <c r="D54" s="624" t="s">
        <v>81</v>
      </c>
      <c r="E54" s="545">
        <v>0</v>
      </c>
      <c r="F54" s="1246"/>
      <c r="G54" s="1246"/>
      <c r="H54" s="1246"/>
      <c r="I54" s="1246"/>
      <c r="J54" s="1246"/>
      <c r="K54" s="1247"/>
      <c r="L54" s="546" t="s">
        <v>364</v>
      </c>
    </row>
    <row r="55" spans="2:12">
      <c r="B55" s="1269"/>
      <c r="D55" s="624" t="s">
        <v>82</v>
      </c>
      <c r="E55" s="545">
        <v>0.8</v>
      </c>
      <c r="F55" s="1246"/>
      <c r="G55" s="1246"/>
      <c r="H55" s="1246"/>
      <c r="I55" s="1246"/>
      <c r="J55" s="1246"/>
      <c r="K55" s="1247"/>
      <c r="L55" s="546" t="s">
        <v>365</v>
      </c>
    </row>
    <row r="56" spans="2:12">
      <c r="B56" s="1269"/>
      <c r="D56" s="624" t="s">
        <v>83</v>
      </c>
      <c r="E56" s="545">
        <v>0.2</v>
      </c>
      <c r="F56" s="1246"/>
      <c r="G56" s="1246"/>
      <c r="H56" s="1246"/>
      <c r="I56" s="1246"/>
      <c r="J56" s="1246"/>
      <c r="K56" s="1247"/>
      <c r="L56" s="546" t="s">
        <v>366</v>
      </c>
    </row>
    <row r="57" spans="2:12" ht="30">
      <c r="B57" s="1269"/>
      <c r="D57" s="624" t="s">
        <v>290</v>
      </c>
      <c r="E57" s="548" t="s">
        <v>87</v>
      </c>
      <c r="F57" s="1246"/>
      <c r="G57" s="1246"/>
      <c r="H57" s="1246"/>
      <c r="I57" s="1246"/>
      <c r="J57" s="1246"/>
      <c r="K57" s="1247"/>
      <c r="L57" s="544" t="s">
        <v>370</v>
      </c>
    </row>
    <row r="58" spans="2:12">
      <c r="B58" s="1269"/>
      <c r="D58" s="624" t="s">
        <v>81</v>
      </c>
      <c r="E58" s="545">
        <v>0</v>
      </c>
      <c r="F58" s="1246"/>
      <c r="G58" s="1246"/>
      <c r="H58" s="1246"/>
      <c r="I58" s="1246"/>
      <c r="J58" s="1246"/>
      <c r="K58" s="1247"/>
      <c r="L58" s="546" t="s">
        <v>364</v>
      </c>
    </row>
    <row r="59" spans="2:12">
      <c r="B59" s="1269"/>
      <c r="D59" s="624" t="s">
        <v>82</v>
      </c>
      <c r="E59" s="545">
        <v>0.4</v>
      </c>
      <c r="F59" s="1246"/>
      <c r="G59" s="1246"/>
      <c r="H59" s="1246"/>
      <c r="I59" s="1246"/>
      <c r="J59" s="1246"/>
      <c r="K59" s="1247"/>
      <c r="L59" s="546" t="s">
        <v>365</v>
      </c>
    </row>
    <row r="60" spans="2:12">
      <c r="B60" s="1269"/>
      <c r="D60" s="624" t="s">
        <v>83</v>
      </c>
      <c r="E60" s="545">
        <v>0.6</v>
      </c>
      <c r="F60" s="1246"/>
      <c r="G60" s="1246"/>
      <c r="H60" s="1246"/>
      <c r="I60" s="1246"/>
      <c r="J60" s="1246"/>
      <c r="K60" s="1247"/>
      <c r="L60" s="546" t="s">
        <v>366</v>
      </c>
    </row>
    <row r="61" spans="2:12">
      <c r="B61" s="1269"/>
      <c r="D61" s="624" t="s">
        <v>88</v>
      </c>
      <c r="E61" s="549"/>
      <c r="F61" s="1246"/>
      <c r="G61" s="1246"/>
      <c r="H61" s="1246"/>
      <c r="I61" s="1246"/>
      <c r="J61" s="1246"/>
      <c r="K61" s="1247"/>
      <c r="L61" s="544" t="s">
        <v>371</v>
      </c>
    </row>
    <row r="62" spans="2:12">
      <c r="B62" s="1269"/>
      <c r="D62" s="624" t="s">
        <v>81</v>
      </c>
      <c r="E62" s="545">
        <v>0.3</v>
      </c>
      <c r="F62" s="1246"/>
      <c r="G62" s="1246"/>
      <c r="H62" s="1246"/>
      <c r="I62" s="1246"/>
      <c r="J62" s="1246"/>
      <c r="K62" s="1247"/>
      <c r="L62" s="546" t="s">
        <v>364</v>
      </c>
    </row>
    <row r="63" spans="2:12">
      <c r="B63" s="1269"/>
      <c r="D63" s="624" t="s">
        <v>82</v>
      </c>
      <c r="E63" s="545">
        <v>0.6</v>
      </c>
      <c r="F63" s="1246"/>
      <c r="G63" s="1246"/>
      <c r="H63" s="1246"/>
      <c r="I63" s="1246"/>
      <c r="J63" s="1246"/>
      <c r="K63" s="1247"/>
      <c r="L63" s="546" t="s">
        <v>365</v>
      </c>
    </row>
    <row r="64" spans="2:12" ht="15.75" thickBot="1">
      <c r="B64" s="1270"/>
      <c r="D64" s="627" t="s">
        <v>83</v>
      </c>
      <c r="E64" s="551">
        <v>0.1</v>
      </c>
      <c r="F64" s="1239"/>
      <c r="G64" s="1239"/>
      <c r="H64" s="1239"/>
      <c r="I64" s="1239"/>
      <c r="J64" s="1239"/>
      <c r="K64" s="1240"/>
      <c r="L64" s="553" t="s">
        <v>366</v>
      </c>
    </row>
    <row r="65" spans="2:12" s="8" customFormat="1" ht="30.75" thickBot="1">
      <c r="B65" s="1024" t="s">
        <v>57</v>
      </c>
      <c r="D65" s="35" t="s">
        <v>36</v>
      </c>
      <c r="E65" s="321" t="s">
        <v>188</v>
      </c>
      <c r="F65" s="321"/>
      <c r="G65" s="321" t="s">
        <v>422</v>
      </c>
      <c r="H65" s="322" t="s">
        <v>423</v>
      </c>
      <c r="I65" s="1241"/>
      <c r="J65" s="1242"/>
      <c r="K65" s="1243"/>
      <c r="L65" s="611" t="s">
        <v>9</v>
      </c>
    </row>
    <row r="66" spans="2:12">
      <c r="B66" s="24"/>
      <c r="D66" s="554" t="s">
        <v>59</v>
      </c>
      <c r="E66" s="555"/>
      <c r="F66" s="556"/>
      <c r="G66" s="557"/>
      <c r="H66" s="557"/>
      <c r="I66" s="1244"/>
      <c r="J66" s="1232"/>
      <c r="K66" s="1245"/>
      <c r="L66" s="559" t="s">
        <v>20</v>
      </c>
    </row>
    <row r="67" spans="2:12">
      <c r="B67" s="24"/>
      <c r="D67" s="560" t="s">
        <v>11</v>
      </c>
      <c r="E67" s="561"/>
      <c r="F67" s="1149"/>
      <c r="G67" s="562"/>
      <c r="H67" s="562"/>
      <c r="I67" s="1234"/>
      <c r="J67" s="1233"/>
      <c r="K67" s="1235"/>
      <c r="L67" s="563" t="s">
        <v>21</v>
      </c>
    </row>
    <row r="68" spans="2:12">
      <c r="B68" s="24" t="s">
        <v>254</v>
      </c>
      <c r="D68" s="564" t="s">
        <v>318</v>
      </c>
      <c r="E68" s="565"/>
      <c r="F68" s="1150" t="s">
        <v>236</v>
      </c>
      <c r="G68" s="566">
        <v>100</v>
      </c>
      <c r="H68" s="567"/>
      <c r="I68" s="1249"/>
      <c r="J68" s="1248"/>
      <c r="K68" s="1250"/>
      <c r="L68" s="568" t="s">
        <v>372</v>
      </c>
    </row>
    <row r="69" spans="2:12">
      <c r="B69" s="24" t="s">
        <v>253</v>
      </c>
      <c r="D69" s="569" t="s">
        <v>35</v>
      </c>
      <c r="E69" s="570">
        <v>0.2</v>
      </c>
      <c r="F69" s="1149"/>
      <c r="G69" s="567"/>
      <c r="H69" s="567"/>
      <c r="I69" s="1249"/>
      <c r="J69" s="1248"/>
      <c r="K69" s="1250"/>
      <c r="L69" s="568" t="s">
        <v>383</v>
      </c>
    </row>
    <row r="70" spans="2:12">
      <c r="B70" s="24" t="s">
        <v>255</v>
      </c>
      <c r="D70" s="569" t="s">
        <v>26</v>
      </c>
      <c r="E70" s="571"/>
      <c r="F70" s="1151" t="s">
        <v>237</v>
      </c>
      <c r="G70" s="566">
        <v>200</v>
      </c>
      <c r="H70" s="567"/>
      <c r="I70" s="1249"/>
      <c r="J70" s="1248"/>
      <c r="K70" s="1250"/>
      <c r="L70" s="568" t="s">
        <v>373</v>
      </c>
    </row>
    <row r="71" spans="2:12">
      <c r="B71" s="24" t="s">
        <v>256</v>
      </c>
      <c r="D71" s="572" t="s">
        <v>405</v>
      </c>
      <c r="E71" s="571"/>
      <c r="F71" s="1152"/>
      <c r="G71" s="1153">
        <v>1.2</v>
      </c>
      <c r="H71" s="567"/>
      <c r="I71" s="1249"/>
      <c r="J71" s="1248"/>
      <c r="K71" s="1250"/>
      <c r="L71" s="568" t="s">
        <v>374</v>
      </c>
    </row>
    <row r="72" spans="2:12">
      <c r="B72" s="24" t="s">
        <v>257</v>
      </c>
      <c r="D72" s="564" t="s">
        <v>98</v>
      </c>
      <c r="E72" s="565"/>
      <c r="F72" s="573"/>
      <c r="G72" s="1154"/>
      <c r="H72" s="574">
        <v>130</v>
      </c>
      <c r="I72" s="1249"/>
      <c r="J72" s="1248"/>
      <c r="K72" s="1250"/>
      <c r="L72" s="563" t="s">
        <v>22</v>
      </c>
    </row>
    <row r="73" spans="2:12" ht="15.75" thickBot="1">
      <c r="B73" s="24" t="s">
        <v>259</v>
      </c>
      <c r="D73" s="550" t="s">
        <v>99</v>
      </c>
      <c r="E73" s="821">
        <v>0.05</v>
      </c>
      <c r="F73" s="575"/>
      <c r="G73" s="576"/>
      <c r="H73" s="576"/>
      <c r="I73" s="1251"/>
      <c r="J73" s="1252"/>
      <c r="K73" s="1253"/>
      <c r="L73" s="577" t="s">
        <v>384</v>
      </c>
    </row>
    <row r="74" spans="2:12" ht="15.75" thickBot="1">
      <c r="B74" s="24"/>
    </row>
    <row r="75" spans="2:12" s="8" customFormat="1" ht="33" customHeight="1" thickBot="1">
      <c r="B75" s="28" t="s">
        <v>57</v>
      </c>
      <c r="D75" s="35" t="s">
        <v>36</v>
      </c>
      <c r="E75" s="321" t="s">
        <v>386</v>
      </c>
      <c r="F75" s="1254"/>
      <c r="G75" s="1238"/>
      <c r="H75" s="1238"/>
      <c r="I75" s="1238"/>
      <c r="J75" s="1238"/>
      <c r="K75" s="1255"/>
      <c r="L75" s="611" t="s">
        <v>9</v>
      </c>
    </row>
    <row r="76" spans="2:12">
      <c r="B76" s="24"/>
      <c r="D76" s="578" t="s">
        <v>324</v>
      </c>
      <c r="E76" s="579"/>
      <c r="F76" s="1244"/>
      <c r="G76" s="1232"/>
      <c r="H76" s="1232"/>
      <c r="I76" s="1232"/>
      <c r="J76" s="1232"/>
      <c r="K76" s="1245"/>
      <c r="L76" s="592" t="s">
        <v>385</v>
      </c>
    </row>
    <row r="77" spans="2:12" ht="30">
      <c r="B77" s="24" t="s">
        <v>485</v>
      </c>
      <c r="D77" s="580" t="s">
        <v>258</v>
      </c>
      <c r="E77" s="581"/>
      <c r="F77" s="1234"/>
      <c r="G77" s="1233"/>
      <c r="H77" s="1233"/>
      <c r="I77" s="1233"/>
      <c r="J77" s="1233"/>
      <c r="K77" s="1235"/>
      <c r="L77" s="593" t="s">
        <v>24</v>
      </c>
    </row>
    <row r="78" spans="2:12">
      <c r="B78" s="24" t="s">
        <v>260</v>
      </c>
      <c r="D78" s="582" t="s">
        <v>320</v>
      </c>
      <c r="E78" s="825">
        <v>4.0000000000000001E-3</v>
      </c>
      <c r="F78" s="1234"/>
      <c r="G78" s="1233"/>
      <c r="H78" s="1233"/>
      <c r="I78" s="1233"/>
      <c r="J78" s="1233"/>
      <c r="K78" s="1235"/>
      <c r="L78" s="594" t="s">
        <v>376</v>
      </c>
    </row>
    <row r="79" spans="2:12">
      <c r="B79" s="24" t="s">
        <v>261</v>
      </c>
      <c r="D79" s="582" t="s">
        <v>321</v>
      </c>
      <c r="E79" s="825">
        <v>3.0000000000000001E-3</v>
      </c>
      <c r="F79" s="1234"/>
      <c r="G79" s="1233"/>
      <c r="H79" s="1233"/>
      <c r="I79" s="1233"/>
      <c r="J79" s="1233"/>
      <c r="K79" s="1235"/>
      <c r="L79" s="595" t="s">
        <v>375</v>
      </c>
    </row>
    <row r="80" spans="2:12">
      <c r="B80" s="24"/>
      <c r="D80" s="582" t="s">
        <v>322</v>
      </c>
      <c r="E80" s="825">
        <v>2E-3</v>
      </c>
      <c r="F80" s="1234"/>
      <c r="G80" s="1233"/>
      <c r="H80" s="1233"/>
      <c r="I80" s="1233"/>
      <c r="J80" s="1233"/>
      <c r="K80" s="1235"/>
      <c r="L80" s="595" t="s">
        <v>377</v>
      </c>
    </row>
    <row r="81" spans="2:12">
      <c r="B81" s="24"/>
      <c r="D81" s="583" t="s">
        <v>48</v>
      </c>
      <c r="E81" s="581"/>
      <c r="F81" s="1234"/>
      <c r="G81" s="1233"/>
      <c r="H81" s="1233"/>
      <c r="I81" s="1233"/>
      <c r="J81" s="1233"/>
      <c r="K81" s="1235"/>
      <c r="L81" s="596"/>
    </row>
    <row r="82" spans="2:12">
      <c r="B82" s="24"/>
      <c r="D82" s="584" t="s">
        <v>12</v>
      </c>
      <c r="E82" s="581"/>
      <c r="F82" s="1234"/>
      <c r="G82" s="1233"/>
      <c r="H82" s="1233"/>
      <c r="I82" s="1233"/>
      <c r="J82" s="1233"/>
      <c r="K82" s="1235"/>
      <c r="L82" s="593" t="s">
        <v>0</v>
      </c>
    </row>
    <row r="83" spans="2:12">
      <c r="B83" s="24" t="s">
        <v>291</v>
      </c>
      <c r="D83" s="585"/>
      <c r="E83" s="586"/>
      <c r="F83" s="1234"/>
      <c r="G83" s="1233"/>
      <c r="H83" s="1233"/>
      <c r="I83" s="1233"/>
      <c r="J83" s="1233"/>
      <c r="K83" s="1235"/>
      <c r="L83" s="593"/>
    </row>
    <row r="84" spans="2:12">
      <c r="B84" s="24" t="s">
        <v>262</v>
      </c>
      <c r="D84" s="585" t="s">
        <v>23</v>
      </c>
      <c r="E84" s="826">
        <v>0.05</v>
      </c>
      <c r="F84" s="1234"/>
      <c r="G84" s="1233"/>
      <c r="H84" s="1233"/>
      <c r="I84" s="1233"/>
      <c r="J84" s="1233"/>
      <c r="K84" s="1235"/>
      <c r="L84" s="593" t="s">
        <v>5</v>
      </c>
    </row>
    <row r="85" spans="2:12" ht="30">
      <c r="B85" s="25" t="s">
        <v>263</v>
      </c>
      <c r="D85" s="661" t="s">
        <v>457</v>
      </c>
      <c r="E85" s="826">
        <v>0.03</v>
      </c>
      <c r="F85" s="1234"/>
      <c r="G85" s="1233"/>
      <c r="H85" s="1233"/>
      <c r="I85" s="1233"/>
      <c r="J85" s="1233"/>
      <c r="K85" s="1235"/>
      <c r="L85" s="593" t="s">
        <v>1</v>
      </c>
    </row>
    <row r="86" spans="2:12" ht="15.75" thickBot="1">
      <c r="B86" s="25"/>
      <c r="D86" s="587" t="s">
        <v>25</v>
      </c>
      <c r="E86" s="827">
        <v>0.03</v>
      </c>
      <c r="F86" s="1236"/>
      <c r="G86" s="1231"/>
      <c r="H86" s="1231"/>
      <c r="I86" s="1231"/>
      <c r="J86" s="1231"/>
      <c r="K86" s="1237"/>
      <c r="L86" s="597" t="s">
        <v>2</v>
      </c>
    </row>
    <row r="87" spans="2:12" s="8" customFormat="1" ht="30.75" thickBot="1">
      <c r="B87" s="28" t="s">
        <v>57</v>
      </c>
      <c r="D87" s="35" t="s">
        <v>36</v>
      </c>
      <c r="E87" s="321" t="s">
        <v>386</v>
      </c>
      <c r="F87" s="1238"/>
      <c r="G87" s="1238"/>
      <c r="H87" s="1238"/>
      <c r="I87" s="1238"/>
      <c r="J87" s="22" t="s">
        <v>47</v>
      </c>
      <c r="K87" s="424"/>
      <c r="L87" s="611" t="s">
        <v>9</v>
      </c>
    </row>
    <row r="88" spans="2:12" ht="30">
      <c r="B88" s="25" t="s">
        <v>264</v>
      </c>
      <c r="D88" s="660" t="s">
        <v>234</v>
      </c>
      <c r="E88" s="828">
        <v>8.5000000000000006E-2</v>
      </c>
      <c r="F88" s="1232"/>
      <c r="G88" s="1232"/>
      <c r="H88" s="1232"/>
      <c r="I88" s="1232"/>
      <c r="J88" s="541"/>
      <c r="K88" s="656"/>
      <c r="L88" s="408" t="s">
        <v>3</v>
      </c>
    </row>
    <row r="89" spans="2:12">
      <c r="B89" s="25" t="s">
        <v>265</v>
      </c>
      <c r="D89" s="661" t="s">
        <v>235</v>
      </c>
      <c r="E89" s="664"/>
      <c r="F89" s="1233"/>
      <c r="G89" s="1233"/>
      <c r="H89" s="1233"/>
      <c r="I89" s="1233"/>
      <c r="J89" s="829">
        <v>10</v>
      </c>
      <c r="K89" s="417"/>
      <c r="L89" s="407" t="s">
        <v>4</v>
      </c>
    </row>
    <row r="90" spans="2:12" ht="15.75" thickBot="1">
      <c r="B90" s="25" t="s">
        <v>266</v>
      </c>
      <c r="D90" s="422" t="s">
        <v>102</v>
      </c>
      <c r="E90" s="665"/>
      <c r="F90" s="1231"/>
      <c r="G90" s="1231"/>
      <c r="H90" s="1231"/>
      <c r="I90" s="1231"/>
      <c r="J90" s="830">
        <v>1</v>
      </c>
      <c r="K90" s="591"/>
      <c r="L90" s="598" t="s">
        <v>339</v>
      </c>
    </row>
    <row r="91" spans="2:12" ht="30">
      <c r="B91" s="25"/>
      <c r="D91" s="539" t="s">
        <v>101</v>
      </c>
      <c r="E91" s="599"/>
      <c r="F91" s="1232"/>
      <c r="G91" s="1232"/>
      <c r="H91" s="1232"/>
      <c r="I91" s="1232"/>
      <c r="J91" s="541"/>
      <c r="K91" s="656"/>
      <c r="L91" s="406" t="s">
        <v>340</v>
      </c>
    </row>
    <row r="92" spans="2:12" ht="30">
      <c r="B92" s="25" t="s">
        <v>267</v>
      </c>
      <c r="D92" s="661" t="s">
        <v>234</v>
      </c>
      <c r="E92" s="600">
        <v>0.1</v>
      </c>
      <c r="F92" s="1233"/>
      <c r="G92" s="1233"/>
      <c r="H92" s="1233"/>
      <c r="I92" s="1233"/>
      <c r="J92" s="405"/>
      <c r="K92" s="417"/>
      <c r="L92" s="407" t="s">
        <v>3</v>
      </c>
    </row>
    <row r="93" spans="2:12" ht="30">
      <c r="B93" s="25" t="s">
        <v>268</v>
      </c>
      <c r="D93" s="661" t="s">
        <v>235</v>
      </c>
      <c r="E93" s="666"/>
      <c r="F93" s="1233"/>
      <c r="G93" s="1233"/>
      <c r="H93" s="1233"/>
      <c r="I93" s="1233"/>
      <c r="J93" s="774">
        <v>7</v>
      </c>
      <c r="K93" s="417"/>
      <c r="L93" s="407" t="s">
        <v>4</v>
      </c>
    </row>
    <row r="94" spans="2:12" ht="30.75" thickBot="1">
      <c r="B94" s="25" t="s">
        <v>269</v>
      </c>
      <c r="D94" s="422" t="s">
        <v>102</v>
      </c>
      <c r="E94" s="665"/>
      <c r="F94" s="1231"/>
      <c r="G94" s="1231"/>
      <c r="H94" s="1231"/>
      <c r="I94" s="1231"/>
      <c r="J94" s="775">
        <v>3</v>
      </c>
      <c r="K94" s="591"/>
      <c r="L94" s="598" t="s">
        <v>339</v>
      </c>
    </row>
    <row r="95" spans="2:12">
      <c r="B95" s="26"/>
      <c r="D95" s="578" t="s">
        <v>169</v>
      </c>
      <c r="E95" s="667"/>
      <c r="F95" s="1229"/>
      <c r="G95" s="1229"/>
      <c r="H95" s="1229"/>
      <c r="I95" s="1229"/>
      <c r="J95" s="541"/>
      <c r="K95" s="609"/>
      <c r="L95" s="615" t="s">
        <v>345</v>
      </c>
    </row>
    <row r="96" spans="2:12">
      <c r="B96" s="27" t="s">
        <v>272</v>
      </c>
      <c r="D96" s="662" t="s">
        <v>170</v>
      </c>
      <c r="E96" s="606"/>
      <c r="F96" s="1230"/>
      <c r="G96" s="1230"/>
      <c r="H96" s="1230"/>
      <c r="I96" s="1230"/>
      <c r="J96" s="831">
        <v>40</v>
      </c>
      <c r="K96" s="657"/>
      <c r="L96" s="616" t="s">
        <v>341</v>
      </c>
    </row>
    <row r="97" spans="2:12">
      <c r="B97" s="27" t="s">
        <v>273</v>
      </c>
      <c r="D97" s="662" t="s">
        <v>171</v>
      </c>
      <c r="E97" s="606"/>
      <c r="F97" s="1230"/>
      <c r="G97" s="1230"/>
      <c r="H97" s="1230"/>
      <c r="I97" s="1230"/>
      <c r="J97" s="832">
        <v>10</v>
      </c>
      <c r="K97" s="657"/>
      <c r="L97" s="616" t="s">
        <v>342</v>
      </c>
    </row>
    <row r="98" spans="2:12" ht="30">
      <c r="B98" s="25" t="s">
        <v>270</v>
      </c>
      <c r="D98" s="662" t="s">
        <v>172</v>
      </c>
      <c r="E98" s="606"/>
      <c r="F98" s="1230"/>
      <c r="G98" s="1230"/>
      <c r="H98" s="1230"/>
      <c r="I98" s="1230"/>
      <c r="J98" s="831">
        <v>5</v>
      </c>
      <c r="K98" s="657"/>
      <c r="L98" s="431" t="s">
        <v>343</v>
      </c>
    </row>
    <row r="99" spans="2:12" ht="45">
      <c r="B99" s="383" t="s">
        <v>271</v>
      </c>
      <c r="D99" s="662" t="s">
        <v>178</v>
      </c>
      <c r="E99" s="606"/>
      <c r="F99" s="1230"/>
      <c r="G99" s="1230"/>
      <c r="H99" s="1230"/>
      <c r="I99" s="1230"/>
      <c r="J99" s="831">
        <v>3</v>
      </c>
      <c r="K99" s="657"/>
      <c r="L99" s="431" t="s">
        <v>344</v>
      </c>
    </row>
    <row r="100" spans="2:12" ht="30.75" thickBot="1">
      <c r="B100" s="58" t="s">
        <v>292</v>
      </c>
      <c r="D100" s="663" t="s">
        <v>346</v>
      </c>
      <c r="E100" s="827">
        <v>0.05</v>
      </c>
      <c r="F100" s="1228"/>
      <c r="G100" s="1228"/>
      <c r="H100" s="1228"/>
      <c r="I100" s="1228"/>
      <c r="J100" s="659"/>
      <c r="K100" s="658"/>
      <c r="L100" s="432"/>
    </row>
    <row r="101" spans="2:12">
      <c r="B101" s="23"/>
      <c r="D101" s="42"/>
      <c r="E101" s="20"/>
      <c r="F101" s="20"/>
      <c r="G101" s="43"/>
      <c r="H101" s="43"/>
      <c r="I101" s="20"/>
      <c r="J101" s="20"/>
      <c r="K101" s="20"/>
      <c r="L101" s="44"/>
    </row>
    <row r="102" spans="2:12" s="317" customFormat="1" ht="16.5" thickBot="1">
      <c r="B102" s="316"/>
      <c r="D102" s="318" t="s">
        <v>396</v>
      </c>
      <c r="E102" s="319"/>
      <c r="F102" s="319"/>
      <c r="G102" s="320"/>
      <c r="H102" s="320"/>
      <c r="I102" s="60"/>
      <c r="J102" s="4"/>
      <c r="K102" s="4"/>
      <c r="L102" s="409" t="s">
        <v>347</v>
      </c>
    </row>
    <row r="103" spans="2:12" s="8" customFormat="1" ht="16.5" thickBot="1">
      <c r="B103" s="28" t="s">
        <v>57</v>
      </c>
      <c r="D103" s="990" t="s">
        <v>36</v>
      </c>
      <c r="E103" s="321" t="s">
        <v>386</v>
      </c>
      <c r="F103" s="1238"/>
      <c r="G103" s="1238"/>
      <c r="H103" s="1238"/>
      <c r="I103" s="1238"/>
      <c r="J103" s="1238"/>
      <c r="K103" s="1238"/>
      <c r="L103" s="37" t="s">
        <v>9</v>
      </c>
    </row>
    <row r="104" spans="2:12" ht="30">
      <c r="B104" s="65" t="s">
        <v>293</v>
      </c>
      <c r="D104" s="673" t="s">
        <v>91</v>
      </c>
      <c r="E104" s="675">
        <v>0.2</v>
      </c>
      <c r="F104" s="1263"/>
      <c r="G104" s="1263"/>
      <c r="H104" s="1263"/>
      <c r="I104" s="1263"/>
      <c r="J104" s="1263"/>
      <c r="K104" s="1263"/>
      <c r="L104" s="676" t="s">
        <v>348</v>
      </c>
    </row>
    <row r="105" spans="2:12">
      <c r="B105" s="65" t="s">
        <v>294</v>
      </c>
      <c r="D105" s="674" t="s">
        <v>100</v>
      </c>
      <c r="E105" s="430">
        <v>0</v>
      </c>
      <c r="F105" s="1264"/>
      <c r="G105" s="1264"/>
      <c r="H105" s="1264"/>
      <c r="I105" s="1264"/>
      <c r="J105" s="1264"/>
      <c r="K105" s="1264"/>
      <c r="L105" s="677" t="s">
        <v>349</v>
      </c>
    </row>
    <row r="106" spans="2:12" ht="15.75" thickBot="1">
      <c r="B106" s="65"/>
      <c r="D106" s="1004" t="s">
        <v>443</v>
      </c>
      <c r="E106" s="1005">
        <v>0</v>
      </c>
      <c r="F106" s="1006"/>
      <c r="G106" s="1006"/>
      <c r="H106" s="1006"/>
      <c r="I106" s="1006"/>
      <c r="J106" s="1006"/>
      <c r="K106" s="1006"/>
      <c r="L106" s="1007"/>
    </row>
    <row r="107" spans="2:12" ht="15.75" thickBot="1">
      <c r="D107" s="63"/>
      <c r="E107" s="289"/>
      <c r="F107" s="54"/>
      <c r="G107" s="54"/>
      <c r="H107" s="54"/>
      <c r="I107" s="57"/>
    </row>
    <row r="108" spans="2:12" s="8" customFormat="1" ht="16.5" thickBot="1">
      <c r="B108" s="28" t="s">
        <v>57</v>
      </c>
      <c r="D108" s="35" t="s">
        <v>36</v>
      </c>
      <c r="E108" s="321" t="s">
        <v>54</v>
      </c>
      <c r="F108" s="1238"/>
      <c r="G108" s="1238"/>
      <c r="H108" s="1238"/>
      <c r="I108" s="1238"/>
      <c r="J108" s="1238"/>
      <c r="K108" s="1238"/>
      <c r="L108" s="37" t="s">
        <v>9</v>
      </c>
    </row>
    <row r="109" spans="2:12">
      <c r="D109" s="668" t="s">
        <v>118</v>
      </c>
      <c r="E109" s="672" t="s">
        <v>117</v>
      </c>
      <c r="F109" s="1229"/>
      <c r="G109" s="1229"/>
      <c r="H109" s="1229"/>
      <c r="I109" s="1229"/>
      <c r="J109" s="1229"/>
      <c r="K109" s="1229"/>
      <c r="L109" s="676" t="s">
        <v>350</v>
      </c>
    </row>
    <row r="110" spans="2:12" ht="30">
      <c r="D110" s="669" t="s">
        <v>107</v>
      </c>
      <c r="E110" s="601">
        <v>2020</v>
      </c>
      <c r="F110" s="1248"/>
      <c r="G110" s="1248"/>
      <c r="H110" s="1248"/>
      <c r="I110" s="1248"/>
      <c r="J110" s="1248"/>
      <c r="K110" s="1248"/>
      <c r="L110" s="679" t="s">
        <v>351</v>
      </c>
    </row>
    <row r="111" spans="2:12" ht="30">
      <c r="D111" s="669" t="s">
        <v>108</v>
      </c>
      <c r="E111" s="601">
        <v>2021</v>
      </c>
      <c r="F111" s="1248"/>
      <c r="G111" s="1248"/>
      <c r="H111" s="1248"/>
      <c r="I111" s="1248"/>
      <c r="J111" s="1248"/>
      <c r="K111" s="1248"/>
      <c r="L111" s="677" t="s">
        <v>352</v>
      </c>
    </row>
    <row r="112" spans="2:12">
      <c r="D112" s="670" t="s">
        <v>109</v>
      </c>
      <c r="E112" s="601">
        <v>2022</v>
      </c>
      <c r="F112" s="1248"/>
      <c r="G112" s="1248"/>
      <c r="H112" s="1248"/>
      <c r="I112" s="1248"/>
      <c r="J112" s="1248"/>
      <c r="K112" s="1248"/>
      <c r="L112" s="677" t="s">
        <v>354</v>
      </c>
    </row>
    <row r="113" spans="2:12" ht="15.75" thickBot="1">
      <c r="D113" s="671" t="s">
        <v>517</v>
      </c>
      <c r="E113" s="830">
        <f>E110+3</f>
        <v>2023</v>
      </c>
      <c r="F113" s="1252"/>
      <c r="G113" s="1252"/>
      <c r="H113" s="1252"/>
      <c r="I113" s="1252"/>
      <c r="J113" s="1252"/>
      <c r="K113" s="1252"/>
      <c r="L113" s="678" t="s">
        <v>353</v>
      </c>
    </row>
    <row r="114" spans="2:12" ht="15.75" thickBot="1">
      <c r="D114" s="398"/>
      <c r="E114" s="173"/>
      <c r="F114" s="327"/>
      <c r="I114" s="327"/>
      <c r="J114" s="327"/>
      <c r="K114" s="327"/>
    </row>
    <row r="115" spans="2:12" ht="36.950000000000003" customHeight="1">
      <c r="B115" s="316"/>
      <c r="D115" s="683" t="s">
        <v>238</v>
      </c>
      <c r="E115" s="342"/>
      <c r="F115" s="339"/>
    </row>
    <row r="116" spans="2:12" ht="30" customHeight="1">
      <c r="B116" s="65"/>
      <c r="D116" s="684" t="s">
        <v>239</v>
      </c>
      <c r="E116" s="341"/>
      <c r="F116" s="340"/>
    </row>
    <row r="117" spans="2:12" ht="21">
      <c r="B117" s="65"/>
      <c r="D117" s="684" t="s">
        <v>240</v>
      </c>
      <c r="E117" s="342"/>
      <c r="F117" s="340"/>
    </row>
    <row r="118" spans="2:12" ht="21">
      <c r="B118" s="65"/>
      <c r="D118" s="684" t="s">
        <v>424</v>
      </c>
      <c r="E118" s="2"/>
      <c r="F118" s="2"/>
    </row>
    <row r="119" spans="2:12" ht="21.75" thickBot="1">
      <c r="B119" s="36"/>
      <c r="D119" s="685"/>
    </row>
  </sheetData>
  <mergeCells count="109">
    <mergeCell ref="F77:K77"/>
    <mergeCell ref="F78:K78"/>
    <mergeCell ref="F79:K79"/>
    <mergeCell ref="D2:L2"/>
    <mergeCell ref="B34:B39"/>
    <mergeCell ref="B41:B64"/>
    <mergeCell ref="E12:F12"/>
    <mergeCell ref="H12:J12"/>
    <mergeCell ref="H13:J13"/>
    <mergeCell ref="H14:J14"/>
    <mergeCell ref="H15:J15"/>
    <mergeCell ref="E13:F13"/>
    <mergeCell ref="E14:F14"/>
    <mergeCell ref="E15:F15"/>
    <mergeCell ref="J4:K4"/>
    <mergeCell ref="J5:K5"/>
    <mergeCell ref="J6:K6"/>
    <mergeCell ref="J7:K7"/>
    <mergeCell ref="J8:K8"/>
    <mergeCell ref="J9:K9"/>
    <mergeCell ref="I68:K68"/>
    <mergeCell ref="I69:K69"/>
    <mergeCell ref="I70:K70"/>
    <mergeCell ref="I71:K71"/>
    <mergeCell ref="F112:K112"/>
    <mergeCell ref="F113:K113"/>
    <mergeCell ref="F103:K103"/>
    <mergeCell ref="F104:K104"/>
    <mergeCell ref="F105:K105"/>
    <mergeCell ref="F108:K108"/>
    <mergeCell ref="F109:K109"/>
    <mergeCell ref="F110:K110"/>
    <mergeCell ref="F111:K111"/>
    <mergeCell ref="J10:K10"/>
    <mergeCell ref="I17:K17"/>
    <mergeCell ref="I18:K18"/>
    <mergeCell ref="I19:K19"/>
    <mergeCell ref="I29:K29"/>
    <mergeCell ref="I31:K31"/>
    <mergeCell ref="I32:K32"/>
    <mergeCell ref="I33:K33"/>
    <mergeCell ref="I24:K24"/>
    <mergeCell ref="I25:K25"/>
    <mergeCell ref="I26:K26"/>
    <mergeCell ref="I27:K27"/>
    <mergeCell ref="I28:K28"/>
    <mergeCell ref="I35:K35"/>
    <mergeCell ref="I36:K36"/>
    <mergeCell ref="I37:K37"/>
    <mergeCell ref="I38:K38"/>
    <mergeCell ref="I72:K72"/>
    <mergeCell ref="I73:K73"/>
    <mergeCell ref="F75:K75"/>
    <mergeCell ref="F76:K76"/>
    <mergeCell ref="I20:K20"/>
    <mergeCell ref="I21:K21"/>
    <mergeCell ref="I22:K22"/>
    <mergeCell ref="I23:K23"/>
    <mergeCell ref="I34:K34"/>
    <mergeCell ref="F43:K43"/>
    <mergeCell ref="F44:K44"/>
    <mergeCell ref="F45:K45"/>
    <mergeCell ref="F46:K46"/>
    <mergeCell ref="F47:K47"/>
    <mergeCell ref="I39:K39"/>
    <mergeCell ref="F40:K40"/>
    <mergeCell ref="F41:K41"/>
    <mergeCell ref="F42:K42"/>
    <mergeCell ref="F53:K53"/>
    <mergeCell ref="F54:K54"/>
    <mergeCell ref="F55:K55"/>
    <mergeCell ref="F56:K56"/>
    <mergeCell ref="F57:K57"/>
    <mergeCell ref="F48:K48"/>
    <mergeCell ref="F49:K49"/>
    <mergeCell ref="F50:K50"/>
    <mergeCell ref="F51:K51"/>
    <mergeCell ref="F52:K52"/>
    <mergeCell ref="F63:K63"/>
    <mergeCell ref="F64:K64"/>
    <mergeCell ref="I65:K65"/>
    <mergeCell ref="I66:K66"/>
    <mergeCell ref="I67:K67"/>
    <mergeCell ref="F58:K58"/>
    <mergeCell ref="F59:K59"/>
    <mergeCell ref="F60:K60"/>
    <mergeCell ref="F61:K61"/>
    <mergeCell ref="F62:K62"/>
    <mergeCell ref="F85:K85"/>
    <mergeCell ref="F86:K86"/>
    <mergeCell ref="F87:I87"/>
    <mergeCell ref="F88:I88"/>
    <mergeCell ref="F89:I89"/>
    <mergeCell ref="F80:K80"/>
    <mergeCell ref="F81:K81"/>
    <mergeCell ref="F82:K82"/>
    <mergeCell ref="F83:K83"/>
    <mergeCell ref="F84:K84"/>
    <mergeCell ref="F100:I100"/>
    <mergeCell ref="F95:I95"/>
    <mergeCell ref="F96:I96"/>
    <mergeCell ref="F97:I97"/>
    <mergeCell ref="F98:I98"/>
    <mergeCell ref="F99:I99"/>
    <mergeCell ref="F90:I90"/>
    <mergeCell ref="F91:I91"/>
    <mergeCell ref="F92:I92"/>
    <mergeCell ref="F93:I93"/>
    <mergeCell ref="F94:I94"/>
  </mergeCells>
  <phoneticPr fontId="3" type="noConversion"/>
  <printOptions horizontalCentered="1" verticalCentered="1"/>
  <pageMargins left="0.39370078740157483" right="0.39370078740157483" top="0.74803149606299213" bottom="0.74803149606299213" header="0" footer="0"/>
  <pageSetup paperSize="9" scale="27" orientation="portrait" horizontalDpi="4294967292" verticalDpi="4294967292" r:id="rId1"/>
</worksheet>
</file>

<file path=xl/worksheets/sheet5.xml><?xml version="1.0" encoding="utf-8"?>
<worksheet xmlns="http://schemas.openxmlformats.org/spreadsheetml/2006/main" xmlns:r="http://schemas.openxmlformats.org/officeDocument/2006/relationships">
  <sheetPr>
    <tabColor theme="5"/>
    <pageSetUpPr fitToPage="1"/>
  </sheetPr>
  <dimension ref="A1:AA122"/>
  <sheetViews>
    <sheetView zoomScale="81" zoomScaleNormal="81" workbookViewId="0">
      <selection activeCell="M33" sqref="M33"/>
    </sheetView>
  </sheetViews>
  <sheetFormatPr baseColWidth="10" defaultColWidth="10.625" defaultRowHeight="12.75"/>
  <cols>
    <col min="1" max="1" width="5" style="6" customWidth="1"/>
    <col min="2" max="2" width="69.125" style="6" customWidth="1"/>
    <col min="3" max="3" width="20.5" style="21" customWidth="1"/>
    <col min="4" max="4" width="6" style="21" customWidth="1"/>
    <col min="5" max="5" width="10.375" style="348" customWidth="1"/>
    <col min="6" max="6" width="17" style="19" customWidth="1"/>
    <col min="7" max="8" width="17" style="21" customWidth="1"/>
    <col min="9" max="9" width="17" style="345" customWidth="1"/>
    <col min="10" max="10" width="17" style="346" customWidth="1"/>
    <col min="11" max="11" width="17" style="347" customWidth="1"/>
    <col min="12" max="16384" width="10.625" style="6"/>
  </cols>
  <sheetData>
    <row r="1" spans="1:27" ht="20.100000000000001" customHeight="1" thickBot="1">
      <c r="B1" s="705"/>
      <c r="C1" s="706"/>
      <c r="D1" s="706"/>
      <c r="E1" s="707"/>
      <c r="F1" s="708"/>
      <c r="G1" s="706"/>
      <c r="H1" s="706"/>
      <c r="I1" s="707"/>
      <c r="J1" s="709"/>
      <c r="K1" s="706"/>
    </row>
    <row r="2" spans="1:27" ht="26.1" customHeight="1">
      <c r="B2" s="1292" t="s">
        <v>403</v>
      </c>
      <c r="C2" s="1293"/>
      <c r="D2" s="1293"/>
      <c r="E2" s="1293"/>
      <c r="F2" s="1293"/>
      <c r="G2" s="1293"/>
      <c r="H2" s="1293"/>
      <c r="I2" s="1293"/>
      <c r="J2" s="1293"/>
      <c r="K2" s="1294"/>
    </row>
    <row r="3" spans="1:27" ht="26.1" customHeight="1">
      <c r="B3" s="1295" t="str">
        <f>'2-PRESENTATION DU PROJET'!B3:G3</f>
        <v>Projet de construction du marché (insérer le nom du projet)</v>
      </c>
      <c r="C3" s="1296"/>
      <c r="D3" s="1296"/>
      <c r="E3" s="1296"/>
      <c r="F3" s="1296"/>
      <c r="G3" s="1296"/>
      <c r="H3" s="1296"/>
      <c r="I3" s="1296"/>
      <c r="J3" s="1296"/>
      <c r="K3" s="1297"/>
    </row>
    <row r="4" spans="1:27" ht="26.1" customHeight="1" thickBot="1">
      <c r="B4" s="1287" t="str">
        <f>'2-PRESENTATION DU PROJET'!B4:G4</f>
        <v>au profit de la commune de (insère le nom de la commune)</v>
      </c>
      <c r="C4" s="1298"/>
      <c r="D4" s="1298"/>
      <c r="E4" s="1298"/>
      <c r="F4" s="1298"/>
      <c r="G4" s="1298"/>
      <c r="H4" s="1298"/>
      <c r="I4" s="1298"/>
      <c r="J4" s="1298"/>
      <c r="K4" s="1288"/>
    </row>
    <row r="5" spans="1:27" ht="26.1" customHeight="1" thickBot="1">
      <c r="B5" s="31"/>
      <c r="C5" s="357"/>
      <c r="D5" s="357"/>
      <c r="E5" s="360"/>
      <c r="F5" s="31"/>
      <c r="G5" s="31"/>
      <c r="H5" s="31"/>
      <c r="I5" s="354"/>
      <c r="J5" s="420"/>
      <c r="K5" s="538"/>
    </row>
    <row r="6" spans="1:27" ht="26.1" customHeight="1" thickBot="1">
      <c r="B6" s="1301" t="s">
        <v>40</v>
      </c>
      <c r="C6" s="1303"/>
      <c r="D6" s="748"/>
      <c r="E6" s="1301" t="s">
        <v>394</v>
      </c>
      <c r="F6" s="1302"/>
      <c r="G6" s="1302"/>
      <c r="H6" s="1302"/>
      <c r="I6" s="1302"/>
      <c r="J6" s="1302"/>
      <c r="K6" s="1303"/>
    </row>
    <row r="7" spans="1:27" ht="21" customHeight="1">
      <c r="B7" s="1309" t="s">
        <v>37</v>
      </c>
      <c r="C7" s="1299" t="s">
        <v>38</v>
      </c>
      <c r="D7" s="888"/>
      <c r="E7" s="1311" t="s">
        <v>54</v>
      </c>
      <c r="F7" s="1304" t="s">
        <v>122</v>
      </c>
      <c r="G7" s="1305"/>
      <c r="H7" s="1306"/>
      <c r="I7" s="1307" t="s">
        <v>123</v>
      </c>
      <c r="J7" s="1307"/>
      <c r="K7" s="1308"/>
    </row>
    <row r="8" spans="1:27" ht="45" customHeight="1" thickBot="1">
      <c r="B8" s="1310"/>
      <c r="C8" s="1300"/>
      <c r="D8" s="1025"/>
      <c r="E8" s="1312"/>
      <c r="F8" s="1076" t="s">
        <v>200</v>
      </c>
      <c r="G8" s="1076" t="s">
        <v>201</v>
      </c>
      <c r="H8" s="1077" t="s">
        <v>202</v>
      </c>
      <c r="I8" s="1168" t="s">
        <v>200</v>
      </c>
      <c r="J8" s="1068" t="s">
        <v>201</v>
      </c>
      <c r="K8" s="1069" t="s">
        <v>202</v>
      </c>
    </row>
    <row r="9" spans="1:27" ht="26.1" customHeight="1">
      <c r="B9" s="734" t="s">
        <v>393</v>
      </c>
      <c r="C9" s="733"/>
      <c r="D9" s="1025"/>
      <c r="E9" s="1083">
        <v>2020</v>
      </c>
      <c r="F9" s="1078">
        <f>+'7-Calcul de base AVEC   TVA'!E68</f>
        <v>61115.364885359952</v>
      </c>
      <c r="G9" s="1078">
        <f>+'7-Calcul de base AVEC   TVA'!E58</f>
        <v>333963.74254295055</v>
      </c>
      <c r="H9" s="976">
        <f t="shared" ref="H9:H21" si="0">+F9-G9</f>
        <v>-272848.37765759061</v>
      </c>
      <c r="I9" s="1038">
        <f>+'7-Calcul de base AVEC   TVA'!E69</f>
        <v>61115.364885359952</v>
      </c>
      <c r="J9" s="975">
        <f>+'7-Calcul de base AVEC   TVA'!E59</f>
        <v>333963.74254295055</v>
      </c>
      <c r="K9" s="976">
        <f>+I9-J9</f>
        <v>-272848.37765759061</v>
      </c>
      <c r="Q9" s="95"/>
      <c r="R9" s="95"/>
      <c r="S9" s="95"/>
      <c r="T9" s="95"/>
      <c r="U9" s="95"/>
      <c r="V9" s="95"/>
      <c r="W9" s="95"/>
      <c r="X9" s="95"/>
      <c r="Y9" s="95"/>
      <c r="Z9" s="95">
        <f>'7-Calcul de base AVEC   TVA'!AH13</f>
        <v>0</v>
      </c>
      <c r="AA9" s="95">
        <f>'7-Calcul de base AVEC   TVA'!AI13</f>
        <v>0</v>
      </c>
    </row>
    <row r="10" spans="1:27" ht="26.1" customHeight="1">
      <c r="B10" s="688" t="s">
        <v>6</v>
      </c>
      <c r="C10" s="1094" t="str">
        <f>+'3-DONNEES DE BASE'!E109</f>
        <v>2020-2022</v>
      </c>
      <c r="D10" s="1026"/>
      <c r="E10" s="1084">
        <f>+E9+1</f>
        <v>2021</v>
      </c>
      <c r="F10" s="1079">
        <f>+'7-Calcul de base AVEC   TVA'!F68</f>
        <v>166353.13216018755</v>
      </c>
      <c r="G10" s="1079">
        <f>+'7-Calcul de base AVEC   TVA'!F58</f>
        <v>940057.46329736453</v>
      </c>
      <c r="H10" s="976">
        <f t="shared" si="0"/>
        <v>-773704.33113717695</v>
      </c>
      <c r="I10" s="1038">
        <f>+'7-Calcul de base AVEC   TVA'!F69</f>
        <v>166353.13216018755</v>
      </c>
      <c r="J10" s="975">
        <f>+'7-Calcul de base AVEC   TVA'!F59</f>
        <v>940057.46329736453</v>
      </c>
      <c r="K10" s="976">
        <f t="shared" ref="K10:K31" si="1">+I10-J10</f>
        <v>-773704.33113717695</v>
      </c>
    </row>
    <row r="11" spans="1:27" ht="26.1" customHeight="1">
      <c r="B11" s="687" t="s">
        <v>110</v>
      </c>
      <c r="C11" s="1095">
        <f>+'3-DONNEES DE BASE'!E113</f>
        <v>2023</v>
      </c>
      <c r="D11" s="1027"/>
      <c r="E11" s="1084">
        <f>+E10+1</f>
        <v>2022</v>
      </c>
      <c r="F11" s="1080">
        <f>+'7-Calcul de base AVEC   TVA'!G68</f>
        <v>28195.381478303825</v>
      </c>
      <c r="G11" s="1080">
        <f>+'7-Calcul de base AVEC   TVA'!G58</f>
        <v>272424.81954966765</v>
      </c>
      <c r="H11" s="976">
        <f t="shared" si="0"/>
        <v>-244229.43807136384</v>
      </c>
      <c r="I11" s="1038">
        <f>+'7-Calcul de base AVEC   TVA'!G69</f>
        <v>28195.381478303825</v>
      </c>
      <c r="J11" s="975">
        <f>+'7-Calcul de base AVEC   TVA'!G59</f>
        <v>272424.81954966765</v>
      </c>
      <c r="K11" s="976">
        <f t="shared" si="1"/>
        <v>-244229.43807136384</v>
      </c>
    </row>
    <row r="12" spans="1:27" ht="26.1" customHeight="1">
      <c r="B12" s="688" t="str">
        <f>'3-DONNEES DE BASE'!D6</f>
        <v xml:space="preserve">Population de ou des  Communes du Projet </v>
      </c>
      <c r="C12" s="1094">
        <f>+'3-DONNEES DE BASE'!G10</f>
        <v>104000</v>
      </c>
      <c r="D12" s="743"/>
      <c r="E12" s="1084">
        <f t="shared" ref="E12:E31" si="2">+E11+1</f>
        <v>2023</v>
      </c>
      <c r="F12" s="1080">
        <f>+'7-Calcul de base AVEC   TVA'!H68</f>
        <v>23005.641816461459</v>
      </c>
      <c r="G12" s="1080">
        <f>+'7-Calcul de base AVEC   TVA'!H58</f>
        <v>0</v>
      </c>
      <c r="H12" s="976">
        <f t="shared" si="0"/>
        <v>23005.641816461459</v>
      </c>
      <c r="I12" s="1038">
        <f>+'7-Calcul de base AVEC   TVA'!H69</f>
        <v>23005.641816461459</v>
      </c>
      <c r="J12" s="975">
        <f>+'7-Calcul de base AVEC   TVA'!H59</f>
        <v>0</v>
      </c>
      <c r="K12" s="976">
        <f t="shared" si="1"/>
        <v>23005.641816461459</v>
      </c>
    </row>
    <row r="13" spans="1:27" ht="26.1" customHeight="1">
      <c r="A13" s="742"/>
      <c r="B13" s="741" t="s">
        <v>487</v>
      </c>
      <c r="C13" s="738">
        <f>+'9-Cout  projet avec et sans TVA'!V33</f>
        <v>1546446.0253899829</v>
      </c>
      <c r="D13" s="1028"/>
      <c r="E13" s="1084">
        <f t="shared" si="2"/>
        <v>2024</v>
      </c>
      <c r="F13" s="1080">
        <f>+'7-Calcul de base AVEC   TVA'!I68</f>
        <v>65498.699348198948</v>
      </c>
      <c r="G13" s="1080">
        <f>+'7-Calcul de base AVEC   TVA'!I58</f>
        <v>30928.920507799652</v>
      </c>
      <c r="H13" s="976">
        <f t="shared" si="0"/>
        <v>34569.778840399296</v>
      </c>
      <c r="I13" s="1038">
        <f>+'7-Calcul de base AVEC   TVA'!I69</f>
        <v>65498.699348198948</v>
      </c>
      <c r="J13" s="975">
        <f>+'7-Calcul de base AVEC   TVA'!I59</f>
        <v>30928.920507799652</v>
      </c>
      <c r="K13" s="976">
        <f t="shared" si="1"/>
        <v>34569.778840399296</v>
      </c>
    </row>
    <row r="14" spans="1:27" ht="26.1" customHeight="1">
      <c r="B14" s="1060" t="s">
        <v>488</v>
      </c>
      <c r="C14" s="1061"/>
      <c r="D14" s="1029"/>
      <c r="E14" s="1084">
        <f t="shared" si="2"/>
        <v>2025</v>
      </c>
      <c r="F14" s="1080">
        <f>+'7-Calcul de base AVEC   TVA'!J68</f>
        <v>118502.56184436515</v>
      </c>
      <c r="G14" s="1080">
        <f>+'7-Calcul de base AVEC   TVA'!J58</f>
        <v>30928.920507799652</v>
      </c>
      <c r="H14" s="976">
        <f t="shared" si="0"/>
        <v>87573.641336565488</v>
      </c>
      <c r="I14" s="1038">
        <f>+'7-Calcul de base AVEC   TVA'!J69</f>
        <v>118502.56184436515</v>
      </c>
      <c r="J14" s="975">
        <f>+'7-Calcul de base AVEC   TVA'!J59</f>
        <v>30928.920507799652</v>
      </c>
      <c r="K14" s="976">
        <f t="shared" si="1"/>
        <v>87573.641336565488</v>
      </c>
    </row>
    <row r="15" spans="1:27" ht="26.1" customHeight="1">
      <c r="B15" s="1062" t="s">
        <v>486</v>
      </c>
      <c r="C15" s="1063"/>
      <c r="D15" s="1030"/>
      <c r="E15" s="1084">
        <f t="shared" si="2"/>
        <v>2026</v>
      </c>
      <c r="F15" s="1080">
        <f>+'7-Calcul de base AVEC   TVA'!K68</f>
        <v>184757.34555318148</v>
      </c>
      <c r="G15" s="1080">
        <f>+'7-Calcul de base AVEC   TVA'!K58</f>
        <v>30928.920507799652</v>
      </c>
      <c r="H15" s="976">
        <f t="shared" si="0"/>
        <v>153828.42504538182</v>
      </c>
      <c r="I15" s="1038">
        <f>+'7-Calcul de base AVEC   TVA'!K69</f>
        <v>184757.34555318148</v>
      </c>
      <c r="J15" s="975">
        <f>+'7-Calcul de base AVEC   TVA'!K59</f>
        <v>30928.920507799652</v>
      </c>
      <c r="K15" s="976">
        <f t="shared" si="1"/>
        <v>153828.42504538182</v>
      </c>
    </row>
    <row r="16" spans="1:27" ht="26.1" customHeight="1" thickBot="1">
      <c r="B16" s="688" t="s">
        <v>397</v>
      </c>
      <c r="C16" s="739">
        <f>+C13/C12</f>
        <v>14.869673321057528</v>
      </c>
      <c r="D16" s="1031"/>
      <c r="E16" s="1084">
        <f t="shared" si="2"/>
        <v>2027</v>
      </c>
      <c r="F16" s="1080">
        <f>+'7-Calcul de base AVEC   TVA'!L68</f>
        <v>253760.00573528052</v>
      </c>
      <c r="G16" s="1080">
        <f>+'7-Calcul de base AVEC   TVA'!L58</f>
        <v>80082.141258119649</v>
      </c>
      <c r="H16" s="976">
        <f t="shared" si="0"/>
        <v>173677.86447716085</v>
      </c>
      <c r="I16" s="1038">
        <f>+'7-Calcul de base AVEC   TVA'!L69</f>
        <v>253760.00573528052</v>
      </c>
      <c r="J16" s="975">
        <f>+'7-Calcul de base AVEC   TVA'!L59</f>
        <v>80082.141258119649</v>
      </c>
      <c r="K16" s="976">
        <f t="shared" si="1"/>
        <v>173677.86447716085</v>
      </c>
    </row>
    <row r="17" spans="2:11" ht="26.1" customHeight="1">
      <c r="B17" s="704" t="str">
        <f>'3-DONNEES DE BASE'!D66</f>
        <v>Développement économique du projet</v>
      </c>
      <c r="C17" s="695"/>
      <c r="D17" s="743"/>
      <c r="E17" s="1084">
        <f t="shared" si="2"/>
        <v>2028</v>
      </c>
      <c r="F17" s="1080">
        <f>+'7-Calcul de base AVEC   TVA'!M68</f>
        <v>274504.98981432646</v>
      </c>
      <c r="G17" s="1080">
        <f>+'7-Calcul de base AVEC   TVA'!M58</f>
        <v>30928.920507799652</v>
      </c>
      <c r="H17" s="976">
        <f t="shared" si="0"/>
        <v>243576.0693065268</v>
      </c>
      <c r="I17" s="1038">
        <f>+'7-Calcul de base AVEC   TVA'!M69</f>
        <v>274504.98981432646</v>
      </c>
      <c r="J17" s="975">
        <f>+'7-Calcul de base AVEC   TVA'!M$59</f>
        <v>30928.920507799652</v>
      </c>
      <c r="K17" s="976">
        <f t="shared" si="1"/>
        <v>243576.0693065268</v>
      </c>
    </row>
    <row r="18" spans="2:11" ht="26.1" customHeight="1">
      <c r="B18" s="1064" t="str">
        <f>'3-DONNEES DE BASE'!D68</f>
        <v>Nombre des commerçants locataires</v>
      </c>
      <c r="C18" s="1065"/>
      <c r="D18" s="743"/>
      <c r="E18" s="1084">
        <f t="shared" si="2"/>
        <v>2029</v>
      </c>
      <c r="F18" s="1080">
        <f>+'7-Calcul de base AVEC   TVA'!N68</f>
        <v>296155.77518516633</v>
      </c>
      <c r="G18" s="1080">
        <f>+'7-Calcul de base AVEC   TVA'!N58</f>
        <v>30928.920507799652</v>
      </c>
      <c r="H18" s="976">
        <f t="shared" si="0"/>
        <v>265226.85467736667</v>
      </c>
      <c r="I18" s="1038">
        <f>+'7-Calcul de base AVEC   TVA'!N69</f>
        <v>296155.77518516633</v>
      </c>
      <c r="J18" s="975">
        <f>+'7-Calcul de base AVEC   TVA'!N$59</f>
        <v>30928.920507799652</v>
      </c>
      <c r="K18" s="976">
        <f t="shared" si="1"/>
        <v>265226.85467736667</v>
      </c>
    </row>
    <row r="19" spans="2:11" ht="26.1" customHeight="1">
      <c r="B19" s="1066" t="s">
        <v>243</v>
      </c>
      <c r="C19" s="1096">
        <f>'3-DONNEES DE BASE'!G68</f>
        <v>100</v>
      </c>
      <c r="D19" s="1032"/>
      <c r="E19" s="1084">
        <f t="shared" si="2"/>
        <v>2030</v>
      </c>
      <c r="F19" s="1080">
        <f>+'7-Calcul de base AVEC   TVA'!O68</f>
        <v>318757.65191239014</v>
      </c>
      <c r="G19" s="1080">
        <f>+'7-Calcul de base AVEC   TVA'!O58</f>
        <v>30928.920507799652</v>
      </c>
      <c r="H19" s="976">
        <f t="shared" si="0"/>
        <v>287828.73140459048</v>
      </c>
      <c r="I19" s="1038">
        <f>+'7-Calcul de base AVEC   TVA'!O69</f>
        <v>318757.65191239014</v>
      </c>
      <c r="J19" s="975">
        <f>+'7-Calcul de base AVEC   TVA'!O$59</f>
        <v>30928.920507799652</v>
      </c>
      <c r="K19" s="976">
        <f t="shared" si="1"/>
        <v>287828.73140459048</v>
      </c>
    </row>
    <row r="20" spans="2:11" ht="26.1" customHeight="1">
      <c r="B20" s="1067" t="s">
        <v>244</v>
      </c>
      <c r="C20" s="1097">
        <f>'3-DONNEES DE BASE'!G70</f>
        <v>200</v>
      </c>
      <c r="D20" s="1030"/>
      <c r="E20" s="1084">
        <f t="shared" si="2"/>
        <v>2031</v>
      </c>
      <c r="F20" s="1080">
        <f>+'7-Calcul de base AVEC   TVA'!P68</f>
        <v>342358.1745638171</v>
      </c>
      <c r="G20" s="1080">
        <f>+'7-Calcul de base AVEC   TVA'!P58</f>
        <v>30928.920507799652</v>
      </c>
      <c r="H20" s="976">
        <f t="shared" si="0"/>
        <v>311429.25405601744</v>
      </c>
      <c r="I20" s="1038">
        <f>+'7-Calcul de base AVEC   TVA'!P69</f>
        <v>342358.1745638171</v>
      </c>
      <c r="J20" s="975">
        <f>+'7-Calcul de base AVEC   TVA'!P$59</f>
        <v>30928.920507799652</v>
      </c>
      <c r="K20" s="976">
        <f t="shared" si="1"/>
        <v>311429.25405601744</v>
      </c>
    </row>
    <row r="21" spans="2:11" ht="26.1" customHeight="1">
      <c r="B21" s="691" t="s">
        <v>7</v>
      </c>
      <c r="C21" s="700">
        <f>+'3-DONNEES DE BASE'!H72</f>
        <v>130</v>
      </c>
      <c r="D21" s="1033"/>
      <c r="E21" s="1084">
        <f t="shared" si="2"/>
        <v>2032</v>
      </c>
      <c r="F21" s="1080">
        <f>+'7-Calcul de base AVEC   TVA'!Q68</f>
        <v>1438265.2419619807</v>
      </c>
      <c r="G21" s="1080">
        <f>+'7-Calcul de base AVEC   TVA'!Q58</f>
        <v>30928.920507799652</v>
      </c>
      <c r="H21" s="976">
        <f t="shared" si="0"/>
        <v>1407336.3214541811</v>
      </c>
      <c r="I21" s="1038">
        <f>+'7-Calcul de base AVEC   TVA'!Q69</f>
        <v>367007.27543565712</v>
      </c>
      <c r="J21" s="975">
        <f>+'7-Calcul de base AVEC   TVA'!Q$59</f>
        <v>171771.35706306359</v>
      </c>
      <c r="K21" s="976">
        <f t="shared" si="1"/>
        <v>195235.91837259353</v>
      </c>
    </row>
    <row r="22" spans="2:11" ht="26.1" customHeight="1">
      <c r="B22" s="692" t="str">
        <f>'3-DONNEES DE BASE'!D76</f>
        <v>Charges d'exploitation afférentes au Projet</v>
      </c>
      <c r="C22" s="698"/>
      <c r="D22" s="1034"/>
      <c r="E22" s="1084">
        <f t="shared" si="2"/>
        <v>2033</v>
      </c>
      <c r="F22" s="1080"/>
      <c r="G22" s="1080"/>
      <c r="H22" s="1169"/>
      <c r="I22" s="1038">
        <f>+'7-Calcul de base AVEC   TVA'!R69</f>
        <v>392757.38343893108</v>
      </c>
      <c r="J22" s="975">
        <f>+'7-Calcul de base AVEC   TVA'!R$59</f>
        <v>30928.920507799652</v>
      </c>
      <c r="K22" s="976">
        <f t="shared" si="1"/>
        <v>361828.46293113142</v>
      </c>
    </row>
    <row r="23" spans="2:11" ht="26.1" customHeight="1">
      <c r="B23" s="688" t="str">
        <f>'3-DONNEES DE BASE'!D82</f>
        <v>Total frais du personnel/ans</v>
      </c>
      <c r="C23" s="697">
        <f>+'7-Calcul de base AVEC   TVA'!H39</f>
        <v>13918.014228509848</v>
      </c>
      <c r="D23" s="1034"/>
      <c r="E23" s="1084">
        <f t="shared" si="2"/>
        <v>2034</v>
      </c>
      <c r="F23" s="1080"/>
      <c r="G23" s="1080"/>
      <c r="H23" s="1169"/>
      <c r="I23" s="1038">
        <f>+'7-Calcul de base AVEC   TVA'!S69</f>
        <v>417034.59068704757</v>
      </c>
      <c r="J23" s="975">
        <f>+'7-Calcul de base AVEC   TVA'!S$59</f>
        <v>0</v>
      </c>
      <c r="K23" s="976">
        <f t="shared" si="1"/>
        <v>417034.59068704757</v>
      </c>
    </row>
    <row r="24" spans="2:11" ht="26.1" customHeight="1">
      <c r="B24" s="688" t="s">
        <v>28</v>
      </c>
      <c r="C24" s="749">
        <f>+'7-Calcul de base AVEC   TVA'!H41</f>
        <v>46393.380761699482</v>
      </c>
      <c r="D24" s="1032"/>
      <c r="E24" s="1084">
        <f t="shared" si="2"/>
        <v>2035</v>
      </c>
      <c r="F24" s="1080"/>
      <c r="G24" s="1080"/>
      <c r="H24" s="1169"/>
      <c r="I24" s="1038">
        <f>+'7-Calcul de base AVEC   TVA'!T69</f>
        <v>442525.65829756984</v>
      </c>
      <c r="J24" s="975">
        <f>+'7-Calcul de base AVEC   TVA'!T$59</f>
        <v>0</v>
      </c>
      <c r="K24" s="976">
        <f t="shared" si="1"/>
        <v>442525.65829756984</v>
      </c>
    </row>
    <row r="25" spans="2:11" ht="26.1" customHeight="1" thickBot="1">
      <c r="B25" s="693" t="s">
        <v>224</v>
      </c>
      <c r="C25" s="750">
        <f>+'7-Calcul de base AVEC   TVA'!H43</f>
        <v>46393.380761699482</v>
      </c>
      <c r="D25" s="1035"/>
      <c r="E25" s="1084">
        <f t="shared" si="2"/>
        <v>2036</v>
      </c>
      <c r="F25" s="1080"/>
      <c r="G25" s="1080"/>
      <c r="H25" s="1169"/>
      <c r="I25" s="1038">
        <f>+'7-Calcul de base AVEC   TVA'!U69</f>
        <v>469291.27928861836</v>
      </c>
      <c r="J25" s="975">
        <f>+'7-Calcul de base AVEC   TVA'!U$59</f>
        <v>0</v>
      </c>
      <c r="K25" s="976">
        <f t="shared" si="1"/>
        <v>469291.27928861836</v>
      </c>
    </row>
    <row r="26" spans="2:11" ht="26.1" customHeight="1">
      <c r="B26" s="732" t="s">
        <v>247</v>
      </c>
      <c r="C26" s="703">
        <f>C13*C35</f>
        <v>309289.20507799659</v>
      </c>
      <c r="D26" s="743"/>
      <c r="E26" s="1084">
        <f t="shared" si="2"/>
        <v>2037</v>
      </c>
      <c r="F26" s="1080"/>
      <c r="G26" s="1080"/>
      <c r="H26" s="1169"/>
      <c r="I26" s="1038">
        <f>+'7-Calcul de base AVEC   TVA'!V69</f>
        <v>497395.18132921925</v>
      </c>
      <c r="J26" s="975">
        <f>+'7-Calcul de base AVEC   TVA'!V$59</f>
        <v>66057.818463872405</v>
      </c>
      <c r="K26" s="976">
        <f t="shared" si="1"/>
        <v>431337.36286534683</v>
      </c>
    </row>
    <row r="27" spans="2:11" ht="26.1" customHeight="1">
      <c r="B27" s="688" t="s">
        <v>8</v>
      </c>
      <c r="C27" s="701">
        <f>'3-DONNEES DE BASE'!E88</f>
        <v>8.5000000000000006E-2</v>
      </c>
      <c r="D27" s="743"/>
      <c r="E27" s="1084">
        <f t="shared" si="2"/>
        <v>2038</v>
      </c>
      <c r="F27" s="1080"/>
      <c r="G27" s="1080"/>
      <c r="H27" s="1169"/>
      <c r="I27" s="1038">
        <f>+'7-Calcul de base AVEC   TVA'!W69</f>
        <v>526904.27847184998</v>
      </c>
      <c r="J27" s="975">
        <f>+'7-Calcul de base AVEC   TVA'!W$59</f>
        <v>0</v>
      </c>
      <c r="K27" s="976">
        <f t="shared" si="1"/>
        <v>526904.27847184998</v>
      </c>
    </row>
    <row r="28" spans="2:11" ht="26.1" customHeight="1">
      <c r="B28" s="688" t="s">
        <v>241</v>
      </c>
      <c r="C28" s="1094">
        <f>'3-DONNEES DE BASE'!J89</f>
        <v>10</v>
      </c>
      <c r="D28" s="1032"/>
      <c r="E28" s="1084">
        <f t="shared" si="2"/>
        <v>2039</v>
      </c>
      <c r="F28" s="1080"/>
      <c r="G28" s="1080"/>
      <c r="H28" s="1169"/>
      <c r="I28" s="1038">
        <f>+'7-Calcul de base AVEC   TVA'!X69</f>
        <v>557888.83047161251</v>
      </c>
      <c r="J28" s="975">
        <f>+'7-Calcul de base AVEC   TVA'!X$59</f>
        <v>0</v>
      </c>
      <c r="K28" s="976">
        <f t="shared" si="1"/>
        <v>557888.83047161251</v>
      </c>
    </row>
    <row r="29" spans="2:11" ht="26.1" customHeight="1" thickBot="1">
      <c r="B29" s="693" t="s">
        <v>249</v>
      </c>
      <c r="C29" s="1098">
        <f>'3-DONNEES DE BASE'!J90</f>
        <v>1</v>
      </c>
      <c r="D29" s="1036"/>
      <c r="E29" s="1084">
        <f t="shared" si="2"/>
        <v>2040</v>
      </c>
      <c r="F29" s="1080"/>
      <c r="G29" s="1080"/>
      <c r="H29" s="1169"/>
      <c r="I29" s="1038">
        <f>+'7-Calcul de base AVEC   TVA'!Y69</f>
        <v>590422.61007136316</v>
      </c>
      <c r="J29" s="975">
        <f>+'7-Calcul de base AVEC   TVA'!Y$59</f>
        <v>0</v>
      </c>
      <c r="K29" s="976">
        <f t="shared" si="1"/>
        <v>590422.61007136316</v>
      </c>
    </row>
    <row r="30" spans="2:11" ht="26.1" customHeight="1">
      <c r="B30" s="732" t="s">
        <v>246</v>
      </c>
      <c r="C30" s="703">
        <f>C13*C49</f>
        <v>0</v>
      </c>
      <c r="D30" s="743"/>
      <c r="E30" s="1085">
        <f t="shared" si="2"/>
        <v>2041</v>
      </c>
      <c r="F30" s="1080"/>
      <c r="G30" s="1080"/>
      <c r="H30" s="1169"/>
      <c r="I30" s="1039">
        <f>+'7-Calcul de base AVEC   TVA'!Z69</f>
        <v>624583.07865110133</v>
      </c>
      <c r="J30" s="978">
        <f>+'7-Calcul de base AVEC   TVA'!Z$59</f>
        <v>0</v>
      </c>
      <c r="K30" s="976">
        <f t="shared" si="1"/>
        <v>624583.07865110133</v>
      </c>
    </row>
    <row r="31" spans="2:11" ht="26.1" customHeight="1" thickBot="1">
      <c r="B31" s="694" t="s">
        <v>119</v>
      </c>
      <c r="C31" s="702">
        <f>+'3-DONNEES DE BASE'!E92</f>
        <v>0.1</v>
      </c>
      <c r="D31" s="743"/>
      <c r="E31" s="1086">
        <f t="shared" si="2"/>
        <v>2042</v>
      </c>
      <c r="F31" s="1081"/>
      <c r="G31" s="1081"/>
      <c r="H31" s="1170"/>
      <c r="I31" s="1040">
        <f>+'7-Calcul de base AVEC   TVA'!AA69</f>
        <v>1620238.9891382284</v>
      </c>
      <c r="J31" s="979">
        <f>+'7-Calcul de base AVEC   TVA'!AA$59</f>
        <v>0</v>
      </c>
      <c r="K31" s="980">
        <f t="shared" si="1"/>
        <v>1620238.9891382284</v>
      </c>
    </row>
    <row r="32" spans="2:11" ht="26.1" customHeight="1" thickBot="1">
      <c r="B32" s="694" t="s">
        <v>248</v>
      </c>
      <c r="C32" s="1094">
        <f>+'3-DONNEES DE BASE'!J93</f>
        <v>7</v>
      </c>
      <c r="D32" s="743"/>
      <c r="E32" s="1087" t="s">
        <v>245</v>
      </c>
      <c r="F32" s="1082">
        <f>+SUM(F9:F31)</f>
        <v>3571229.9662590199</v>
      </c>
      <c r="G32" s="1082">
        <f>+SUM(G9:G30)</f>
        <v>1873959.5307104993</v>
      </c>
      <c r="H32" s="982">
        <f>+SUM(H9:H30)</f>
        <v>1697270.4355485202</v>
      </c>
      <c r="I32" s="1041">
        <f>+SUM(I9:I31)</f>
        <v>8639013.8795782384</v>
      </c>
      <c r="J32" s="981">
        <f>+SUM(J9:J31)</f>
        <v>2111788.7062374353</v>
      </c>
      <c r="K32" s="982">
        <f>+SUM(K9:K31)</f>
        <v>6527225.1733408011</v>
      </c>
    </row>
    <row r="33" spans="2:12" ht="26.1" customHeight="1" thickBot="1">
      <c r="B33" s="693" t="s">
        <v>242</v>
      </c>
      <c r="C33" s="1098">
        <f>+'3-DONNEES DE BASE'!J94</f>
        <v>3</v>
      </c>
      <c r="D33" s="1037"/>
      <c r="E33" s="1289" t="s">
        <v>489</v>
      </c>
      <c r="F33" s="1289"/>
      <c r="G33" s="1289"/>
      <c r="H33" s="1289"/>
      <c r="I33" s="1289"/>
      <c r="J33" s="1289"/>
      <c r="K33" s="1289"/>
      <c r="L33" s="707"/>
    </row>
    <row r="34" spans="2:12" ht="26.1" customHeight="1">
      <c r="B34" s="1091" t="s">
        <v>396</v>
      </c>
      <c r="C34" s="1099"/>
      <c r="D34" s="988"/>
      <c r="E34" s="707"/>
      <c r="F34" s="707"/>
      <c r="G34" s="707"/>
      <c r="H34" s="707"/>
      <c r="I34" s="707"/>
      <c r="J34" s="707"/>
      <c r="K34" s="707"/>
      <c r="L34" s="707"/>
    </row>
    <row r="35" spans="2:12" ht="26.1" customHeight="1">
      <c r="B35" s="1092" t="s">
        <v>91</v>
      </c>
      <c r="C35" s="1089">
        <f>'3-DONNEES DE BASE'!E104</f>
        <v>0.2</v>
      </c>
      <c r="D35" s="989"/>
      <c r="E35" s="360"/>
      <c r="F35" s="360"/>
      <c r="G35" s="360"/>
      <c r="H35" s="360"/>
      <c r="I35" s="354"/>
      <c r="J35" s="420"/>
      <c r="K35" s="538"/>
    </row>
    <row r="36" spans="2:12" ht="26.1" customHeight="1" thickBot="1">
      <c r="B36" s="1093" t="s">
        <v>100</v>
      </c>
      <c r="C36" s="1090">
        <f>+'3-DONNEES DE BASE'!E105</f>
        <v>0</v>
      </c>
      <c r="D36" s="358"/>
      <c r="E36" s="354"/>
      <c r="F36" s="354"/>
      <c r="G36" s="354"/>
      <c r="H36" s="354"/>
      <c r="I36" s="354"/>
      <c r="J36" s="353"/>
      <c r="K36" s="1043"/>
    </row>
    <row r="37" spans="2:12" ht="26.1" customHeight="1" thickBot="1">
      <c r="B37" s="384"/>
      <c r="C37" s="743"/>
      <c r="D37" s="355"/>
      <c r="E37" s="359"/>
      <c r="F37" s="354"/>
      <c r="G37" s="354"/>
      <c r="H37" s="354"/>
      <c r="I37" s="354"/>
      <c r="J37" s="353"/>
      <c r="K37" s="1044"/>
    </row>
    <row r="38" spans="2:12" ht="26.1" customHeight="1" thickBot="1">
      <c r="B38" s="1290" t="s">
        <v>490</v>
      </c>
      <c r="C38" s="1291"/>
      <c r="D38" s="747"/>
      <c r="E38" s="359"/>
      <c r="F38" s="354"/>
      <c r="G38" s="354"/>
      <c r="H38" s="354"/>
      <c r="I38" s="354"/>
      <c r="J38" s="353"/>
      <c r="K38" s="1044"/>
    </row>
    <row r="39" spans="2:12" ht="26.1" customHeight="1">
      <c r="B39" s="1052" t="s">
        <v>472</v>
      </c>
      <c r="C39" s="1053">
        <f>+NPV(5%,(H9:H21))</f>
        <v>573515.16993995733</v>
      </c>
      <c r="D39" s="989"/>
      <c r="E39" s="359"/>
      <c r="F39" s="354"/>
      <c r="G39" s="354"/>
      <c r="H39" s="354"/>
      <c r="I39" s="354"/>
      <c r="J39" s="353"/>
      <c r="K39" s="1044"/>
    </row>
    <row r="40" spans="2:12" ht="26.1" customHeight="1">
      <c r="B40" s="986" t="s">
        <v>473</v>
      </c>
      <c r="C40" s="1054">
        <f>+'7-Calcul de base AVEC   TVA'!D72</f>
        <v>9.8679934923595544E-2</v>
      </c>
      <c r="D40" s="747"/>
      <c r="E40" s="359"/>
      <c r="F40" s="354"/>
      <c r="G40" s="354"/>
      <c r="H40" s="354"/>
      <c r="I40" s="354"/>
      <c r="J40" s="353"/>
      <c r="K40" s="1044"/>
    </row>
    <row r="41" spans="2:12" ht="26.1" customHeight="1" thickBot="1">
      <c r="B41" s="1055" t="s">
        <v>474</v>
      </c>
      <c r="C41" s="1056" t="e">
        <f ca="1">_xlfn.MINIFS('7-Calcul de base AVEC   TVA'!E81:AA81,'7-Calcul de base AVEC   TVA'!E85:AA85,"DRCI")</f>
        <v>#NAME?</v>
      </c>
      <c r="D41" s="358"/>
      <c r="E41" s="359"/>
      <c r="F41" s="354"/>
      <c r="G41" s="354"/>
      <c r="H41" s="354"/>
      <c r="I41" s="354"/>
      <c r="J41" s="353"/>
      <c r="K41" s="1044"/>
    </row>
    <row r="42" spans="2:12" customFormat="1" ht="26.1" customHeight="1" thickBot="1">
      <c r="B42" s="1287" t="s">
        <v>491</v>
      </c>
      <c r="C42" s="1288"/>
      <c r="E42" s="40"/>
      <c r="F42" s="40"/>
      <c r="G42" s="40"/>
      <c r="H42" s="40"/>
      <c r="I42" s="40"/>
      <c r="J42" s="751"/>
      <c r="K42" s="40"/>
    </row>
    <row r="43" spans="2:12" ht="26.1" customHeight="1">
      <c r="B43" s="1070" t="s">
        <v>472</v>
      </c>
      <c r="C43" s="1071">
        <f>+NPV(5%,(K9:K31))</f>
        <v>2272488.09781045</v>
      </c>
      <c r="D43" s="740"/>
      <c r="E43" s="359"/>
      <c r="F43" s="354"/>
      <c r="G43" s="354"/>
      <c r="H43" s="354"/>
      <c r="I43" s="354"/>
      <c r="J43" s="353"/>
      <c r="K43" s="1044"/>
    </row>
    <row r="44" spans="2:12" ht="26.1" customHeight="1">
      <c r="B44" s="1072" t="s">
        <v>395</v>
      </c>
      <c r="C44" s="1073">
        <f>+'7-Calcul de base AVEC   TVA'!D73</f>
        <v>0.14072439715749771</v>
      </c>
      <c r="D44" s="740"/>
      <c r="E44" s="359"/>
      <c r="F44" s="354"/>
      <c r="G44" s="354"/>
      <c r="H44" s="354"/>
      <c r="I44" s="354"/>
      <c r="J44" s="353"/>
      <c r="K44" s="1044"/>
    </row>
    <row r="45" spans="2:12" ht="26.1" customHeight="1" thickBot="1">
      <c r="B45" s="1074" t="s">
        <v>474</v>
      </c>
      <c r="C45" s="1075" t="e">
        <f ca="1">_xlfn.MINIFS('7-Calcul de base AVEC   TVA'!E81:AA81,'7-Calcul de base AVEC   TVA'!E88:AA88,"DRCI")</f>
        <v>#NAME?</v>
      </c>
      <c r="E45" s="359"/>
      <c r="F45" s="354"/>
      <c r="G45" s="354"/>
      <c r="H45" s="354"/>
      <c r="I45" s="354"/>
      <c r="J45" s="353"/>
      <c r="K45" s="1044"/>
    </row>
    <row r="46" spans="2:12" ht="16.5" customHeight="1">
      <c r="E46" s="359"/>
      <c r="F46" s="354"/>
      <c r="G46" s="354"/>
      <c r="H46" s="354"/>
      <c r="I46" s="354"/>
      <c r="J46" s="353"/>
      <c r="K46" s="1044"/>
    </row>
    <row r="47" spans="2:12" ht="26.1" customHeight="1">
      <c r="B47" s="1126" t="s">
        <v>495</v>
      </c>
      <c r="C47" s="116"/>
      <c r="D47" s="116"/>
      <c r="E47" s="1126" t="s">
        <v>494</v>
      </c>
      <c r="F47" s="115"/>
      <c r="G47" s="115"/>
      <c r="H47" s="354"/>
      <c r="I47" s="354"/>
      <c r="J47" s="353"/>
      <c r="K47" s="1044"/>
    </row>
    <row r="48" spans="2:12" ht="18.75">
      <c r="B48" s="1125" t="s">
        <v>497</v>
      </c>
      <c r="C48" s="116"/>
      <c r="D48" s="116"/>
      <c r="E48" s="1126" t="str">
        <f>IF(C40&gt;10%,"En principe, le projet est financièrement rentable","En principe, le projet n'est pas financièrement rentable")</f>
        <v>En principe, le projet n'est pas financièrement rentable</v>
      </c>
      <c r="F48" s="115"/>
      <c r="G48" s="115"/>
      <c r="H48" s="354"/>
      <c r="I48" s="354"/>
      <c r="J48" s="353"/>
      <c r="K48" s="1044"/>
    </row>
    <row r="49" spans="2:11" ht="18.75">
      <c r="B49" s="1125" t="s">
        <v>496</v>
      </c>
      <c r="C49" s="116"/>
      <c r="D49" s="116"/>
      <c r="E49" s="115"/>
      <c r="F49" s="115"/>
      <c r="G49" s="115"/>
      <c r="H49" s="354"/>
      <c r="I49" s="354"/>
      <c r="J49" s="353"/>
      <c r="K49" s="1044"/>
    </row>
    <row r="50" spans="2:11">
      <c r="E50" s="359"/>
      <c r="F50" s="354"/>
      <c r="G50" s="354"/>
      <c r="H50" s="354"/>
      <c r="I50" s="354"/>
      <c r="J50" s="353"/>
      <c r="K50" s="1044"/>
    </row>
    <row r="51" spans="2:11" ht="20.100000000000001" customHeight="1">
      <c r="D51" s="740"/>
      <c r="E51" s="359"/>
      <c r="F51" s="354"/>
      <c r="G51" s="354"/>
      <c r="H51" s="354"/>
      <c r="I51" s="354"/>
      <c r="J51" s="353"/>
      <c r="K51" s="1044"/>
    </row>
    <row r="52" spans="2:11">
      <c r="C52" s="6"/>
      <c r="D52" s="349"/>
      <c r="E52" s="359"/>
      <c r="F52" s="354"/>
      <c r="G52" s="354"/>
      <c r="H52" s="354"/>
      <c r="I52" s="354"/>
      <c r="J52" s="353"/>
      <c r="K52" s="1044"/>
    </row>
    <row r="53" spans="2:11">
      <c r="C53" s="6"/>
      <c r="D53" s="7"/>
      <c r="E53" s="359"/>
      <c r="F53" s="354"/>
      <c r="G53" s="354"/>
      <c r="H53" s="354"/>
      <c r="I53" s="354"/>
      <c r="J53" s="353"/>
      <c r="K53" s="1044"/>
    </row>
    <row r="54" spans="2:11">
      <c r="C54" s="6"/>
      <c r="D54" s="7"/>
      <c r="E54" s="359"/>
      <c r="F54" s="354"/>
      <c r="G54" s="354"/>
      <c r="H54" s="354"/>
      <c r="I54" s="354"/>
      <c r="J54" s="353"/>
      <c r="K54" s="1044"/>
    </row>
    <row r="55" spans="2:11">
      <c r="C55" s="6"/>
      <c r="D55" s="7"/>
      <c r="E55" s="359"/>
      <c r="F55" s="354"/>
      <c r="G55" s="354"/>
      <c r="H55" s="354"/>
      <c r="I55" s="354"/>
      <c r="J55" s="353"/>
      <c r="K55" s="1044"/>
    </row>
    <row r="56" spans="2:11">
      <c r="C56" s="6"/>
      <c r="D56" s="7"/>
      <c r="E56" s="359"/>
      <c r="F56" s="354"/>
      <c r="G56" s="354"/>
      <c r="H56" s="354"/>
      <c r="I56" s="354"/>
      <c r="J56" s="353"/>
      <c r="K56" s="1044"/>
    </row>
    <row r="57" spans="2:11">
      <c r="C57" s="6"/>
      <c r="D57" s="7"/>
      <c r="E57" s="359"/>
      <c r="F57" s="354"/>
      <c r="G57" s="354"/>
      <c r="H57" s="354"/>
      <c r="I57" s="354"/>
      <c r="J57" s="353"/>
      <c r="K57" s="1044"/>
    </row>
    <row r="58" spans="2:11">
      <c r="C58" s="6"/>
      <c r="D58" s="7"/>
      <c r="E58" s="359"/>
      <c r="F58" s="354"/>
      <c r="G58" s="354"/>
      <c r="H58" s="354"/>
      <c r="I58" s="354"/>
      <c r="J58" s="353"/>
      <c r="K58" s="1044"/>
    </row>
    <row r="59" spans="2:11">
      <c r="C59" s="6"/>
      <c r="D59" s="7"/>
      <c r="E59" s="359"/>
      <c r="F59" s="354"/>
      <c r="G59" s="354"/>
      <c r="H59" s="354"/>
      <c r="I59" s="354"/>
      <c r="J59" s="353"/>
      <c r="K59" s="1044"/>
    </row>
    <row r="60" spans="2:11">
      <c r="C60" s="6"/>
      <c r="E60" s="359"/>
      <c r="F60" s="354"/>
      <c r="G60" s="354"/>
      <c r="H60" s="354"/>
      <c r="I60" s="354"/>
      <c r="J60" s="353"/>
      <c r="K60" s="1044"/>
    </row>
    <row r="61" spans="2:11">
      <c r="C61" s="6"/>
      <c r="E61" s="359"/>
      <c r="F61" s="354"/>
      <c r="G61" s="354"/>
      <c r="H61" s="354"/>
      <c r="I61" s="354"/>
      <c r="J61" s="353"/>
      <c r="K61" s="1044"/>
    </row>
    <row r="62" spans="2:11">
      <c r="C62" s="6"/>
      <c r="E62" s="359"/>
      <c r="F62" s="354"/>
      <c r="G62" s="354"/>
      <c r="H62" s="354"/>
      <c r="I62" s="354"/>
      <c r="J62" s="353"/>
      <c r="K62" s="1044"/>
    </row>
    <row r="63" spans="2:11">
      <c r="B63" s="7"/>
      <c r="C63" s="7"/>
      <c r="E63" s="359"/>
      <c r="F63" s="354"/>
      <c r="G63" s="354"/>
      <c r="H63" s="354"/>
      <c r="I63" s="354"/>
      <c r="J63" s="353"/>
      <c r="K63" s="1044"/>
    </row>
    <row r="64" spans="2:11">
      <c r="B64" s="7"/>
      <c r="C64" s="7"/>
      <c r="E64" s="359"/>
      <c r="F64" s="354"/>
      <c r="G64" s="354"/>
      <c r="H64" s="354"/>
      <c r="I64" s="354"/>
      <c r="J64" s="353"/>
      <c r="K64" s="1044"/>
    </row>
    <row r="65" spans="5:11">
      <c r="E65" s="359"/>
      <c r="F65" s="354"/>
      <c r="G65" s="354"/>
      <c r="H65" s="354"/>
      <c r="I65" s="354"/>
      <c r="J65" s="353"/>
      <c r="K65" s="1044"/>
    </row>
    <row r="66" spans="5:11">
      <c r="E66" s="359"/>
      <c r="F66" s="354"/>
      <c r="G66" s="354"/>
      <c r="H66" s="354"/>
      <c r="I66" s="354"/>
      <c r="J66" s="353"/>
      <c r="K66" s="1044"/>
    </row>
    <row r="67" spans="5:11">
      <c r="E67" s="359"/>
      <c r="F67" s="354"/>
      <c r="G67" s="354"/>
      <c r="H67" s="354"/>
      <c r="I67" s="354"/>
      <c r="J67" s="353"/>
      <c r="K67" s="1044"/>
    </row>
    <row r="68" spans="5:11">
      <c r="E68" s="359"/>
      <c r="F68" s="354"/>
      <c r="G68" s="354"/>
      <c r="H68" s="354"/>
      <c r="I68" s="354"/>
      <c r="J68" s="353"/>
      <c r="K68" s="1044"/>
    </row>
    <row r="69" spans="5:11">
      <c r="E69" s="359"/>
      <c r="F69" s="354"/>
      <c r="G69" s="354"/>
      <c r="H69" s="354"/>
      <c r="I69" s="354"/>
      <c r="J69" s="353"/>
      <c r="K69" s="1044"/>
    </row>
    <row r="70" spans="5:11">
      <c r="E70" s="359"/>
      <c r="F70" s="354"/>
      <c r="G70" s="354"/>
      <c r="H70" s="354"/>
      <c r="I70" s="354"/>
      <c r="J70" s="353"/>
      <c r="K70" s="1044"/>
    </row>
    <row r="71" spans="5:11">
      <c r="E71" s="354"/>
      <c r="F71" s="30"/>
      <c r="G71" s="7"/>
      <c r="H71" s="7"/>
      <c r="I71" s="354"/>
      <c r="J71" s="420"/>
      <c r="K71" s="538"/>
    </row>
    <row r="72" spans="5:11">
      <c r="E72" s="354"/>
      <c r="F72" s="30"/>
      <c r="G72" s="7"/>
      <c r="H72" s="7"/>
      <c r="I72" s="354"/>
      <c r="J72" s="420"/>
      <c r="K72" s="538"/>
    </row>
    <row r="73" spans="5:11">
      <c r="E73" s="354"/>
      <c r="F73" s="30"/>
      <c r="G73" s="7"/>
      <c r="H73" s="7"/>
      <c r="I73" s="354"/>
      <c r="J73" s="420"/>
      <c r="K73" s="538"/>
    </row>
    <row r="74" spans="5:11">
      <c r="E74" s="354"/>
      <c r="F74" s="30"/>
      <c r="G74" s="7"/>
      <c r="H74" s="7"/>
      <c r="I74" s="354"/>
      <c r="J74" s="420"/>
      <c r="K74" s="538"/>
    </row>
    <row r="75" spans="5:11">
      <c r="E75" s="354"/>
      <c r="F75" s="30"/>
      <c r="G75" s="7"/>
      <c r="H75" s="7"/>
      <c r="I75" s="354"/>
      <c r="J75" s="420"/>
      <c r="K75" s="538"/>
    </row>
    <row r="76" spans="5:11">
      <c r="E76" s="354"/>
      <c r="F76" s="30"/>
      <c r="G76" s="7"/>
      <c r="H76" s="7"/>
      <c r="I76" s="354"/>
      <c r="J76" s="420"/>
      <c r="K76" s="538"/>
    </row>
    <row r="77" spans="5:11">
      <c r="E77" s="350"/>
      <c r="I77" s="350"/>
      <c r="J77" s="351"/>
      <c r="K77" s="352"/>
    </row>
    <row r="78" spans="5:11">
      <c r="E78" s="350"/>
      <c r="I78" s="350"/>
      <c r="J78" s="351"/>
      <c r="K78" s="352"/>
    </row>
    <row r="79" spans="5:11">
      <c r="E79" s="350"/>
      <c r="I79" s="350"/>
      <c r="J79" s="351"/>
      <c r="K79" s="352"/>
    </row>
    <row r="80" spans="5:11">
      <c r="E80" s="350"/>
      <c r="I80" s="350"/>
      <c r="J80" s="351"/>
      <c r="K80" s="352"/>
    </row>
    <row r="81" spans="5:11">
      <c r="E81" s="350"/>
      <c r="I81" s="350"/>
      <c r="J81" s="351"/>
      <c r="K81" s="352"/>
    </row>
    <row r="82" spans="5:11">
      <c r="E82" s="350"/>
      <c r="I82" s="350"/>
      <c r="J82" s="351"/>
      <c r="K82" s="352"/>
    </row>
    <row r="83" spans="5:11">
      <c r="E83" s="350"/>
      <c r="I83" s="350"/>
      <c r="J83" s="351"/>
      <c r="K83" s="352"/>
    </row>
    <row r="84" spans="5:11">
      <c r="E84" s="350"/>
      <c r="I84" s="350"/>
      <c r="J84" s="351"/>
      <c r="K84" s="352"/>
    </row>
    <row r="85" spans="5:11">
      <c r="E85" s="350"/>
      <c r="I85" s="350"/>
      <c r="J85" s="351"/>
      <c r="K85" s="352"/>
    </row>
    <row r="86" spans="5:11">
      <c r="E86" s="350"/>
      <c r="I86" s="350"/>
      <c r="J86" s="351"/>
      <c r="K86" s="352"/>
    </row>
    <row r="87" spans="5:11">
      <c r="E87" s="350"/>
      <c r="I87" s="350"/>
      <c r="J87" s="351"/>
      <c r="K87" s="352"/>
    </row>
    <row r="88" spans="5:11">
      <c r="E88" s="350"/>
      <c r="I88" s="350"/>
      <c r="J88" s="351"/>
      <c r="K88" s="352"/>
    </row>
    <row r="89" spans="5:11">
      <c r="E89" s="350"/>
      <c r="I89" s="350"/>
      <c r="J89" s="351"/>
      <c r="K89" s="352"/>
    </row>
    <row r="90" spans="5:11">
      <c r="E90" s="350"/>
      <c r="I90" s="350"/>
      <c r="J90" s="351"/>
      <c r="K90" s="352"/>
    </row>
    <row r="91" spans="5:11">
      <c r="E91" s="350"/>
      <c r="I91" s="350"/>
      <c r="J91" s="351"/>
      <c r="K91" s="352"/>
    </row>
    <row r="92" spans="5:11">
      <c r="E92" s="350"/>
      <c r="I92" s="350"/>
      <c r="J92" s="351"/>
      <c r="K92" s="352"/>
    </row>
    <row r="93" spans="5:11">
      <c r="E93" s="350"/>
      <c r="I93" s="350"/>
      <c r="J93" s="351"/>
      <c r="K93" s="352"/>
    </row>
    <row r="94" spans="5:11">
      <c r="E94" s="350"/>
      <c r="I94" s="350"/>
      <c r="J94" s="351"/>
      <c r="K94" s="352"/>
    </row>
    <row r="95" spans="5:11">
      <c r="E95" s="350"/>
      <c r="I95" s="350"/>
      <c r="J95" s="351"/>
      <c r="K95" s="352"/>
    </row>
    <row r="96" spans="5:11">
      <c r="E96" s="350"/>
      <c r="I96" s="350"/>
      <c r="J96" s="351"/>
      <c r="K96" s="352"/>
    </row>
    <row r="97" spans="5:11">
      <c r="E97" s="350"/>
      <c r="I97" s="350"/>
      <c r="J97" s="351"/>
      <c r="K97" s="352"/>
    </row>
    <row r="98" spans="5:11">
      <c r="E98" s="350"/>
      <c r="I98" s="350"/>
      <c r="J98" s="351"/>
      <c r="K98" s="352"/>
    </row>
    <row r="99" spans="5:11">
      <c r="E99" s="350"/>
      <c r="I99" s="350"/>
      <c r="J99" s="351"/>
      <c r="K99" s="352"/>
    </row>
    <row r="100" spans="5:11">
      <c r="E100" s="350"/>
      <c r="I100" s="350"/>
      <c r="J100" s="351"/>
      <c r="K100" s="352"/>
    </row>
    <row r="101" spans="5:11">
      <c r="E101" s="350"/>
      <c r="I101" s="350"/>
      <c r="J101" s="351"/>
      <c r="K101" s="352"/>
    </row>
    <row r="102" spans="5:11">
      <c r="E102" s="350"/>
      <c r="I102" s="350"/>
      <c r="J102" s="351"/>
      <c r="K102" s="352"/>
    </row>
    <row r="103" spans="5:11">
      <c r="E103" s="350"/>
      <c r="I103" s="350"/>
      <c r="J103" s="351"/>
      <c r="K103" s="352"/>
    </row>
    <row r="104" spans="5:11">
      <c r="E104" s="350"/>
      <c r="I104" s="350"/>
      <c r="J104" s="351"/>
      <c r="K104" s="352"/>
    </row>
    <row r="105" spans="5:11">
      <c r="E105" s="350"/>
      <c r="I105" s="350"/>
      <c r="J105" s="351"/>
      <c r="K105" s="352"/>
    </row>
    <row r="106" spans="5:11">
      <c r="E106" s="350"/>
      <c r="I106" s="350"/>
      <c r="J106" s="351"/>
      <c r="K106" s="352"/>
    </row>
    <row r="107" spans="5:11">
      <c r="E107" s="350"/>
      <c r="I107" s="350"/>
      <c r="J107" s="351"/>
      <c r="K107" s="352"/>
    </row>
    <row r="108" spans="5:11">
      <c r="E108" s="350"/>
      <c r="I108" s="350"/>
      <c r="J108" s="351"/>
      <c r="K108" s="352"/>
    </row>
    <row r="109" spans="5:11">
      <c r="E109" s="350"/>
      <c r="I109" s="350"/>
      <c r="J109" s="351"/>
      <c r="K109" s="352"/>
    </row>
    <row r="110" spans="5:11">
      <c r="E110" s="350"/>
      <c r="I110" s="350"/>
      <c r="J110" s="351"/>
      <c r="K110" s="352"/>
    </row>
    <row r="111" spans="5:11">
      <c r="E111" s="350"/>
      <c r="I111" s="350"/>
      <c r="J111" s="351"/>
      <c r="K111" s="352"/>
    </row>
    <row r="112" spans="5:11">
      <c r="E112" s="350"/>
      <c r="I112" s="350"/>
      <c r="J112" s="351"/>
      <c r="K112" s="352"/>
    </row>
    <row r="113" spans="5:5">
      <c r="E113" s="350"/>
    </row>
    <row r="114" spans="5:5">
      <c r="E114" s="350"/>
    </row>
    <row r="115" spans="5:5">
      <c r="E115" s="350"/>
    </row>
    <row r="116" spans="5:5">
      <c r="E116" s="350"/>
    </row>
    <row r="117" spans="5:5">
      <c r="E117" s="350"/>
    </row>
    <row r="118" spans="5:5">
      <c r="E118" s="350"/>
    </row>
    <row r="119" spans="5:5">
      <c r="E119" s="350"/>
    </row>
    <row r="120" spans="5:5">
      <c r="E120" s="350"/>
    </row>
    <row r="121" spans="5:5">
      <c r="E121" s="350"/>
    </row>
    <row r="122" spans="5:5">
      <c r="E122" s="350"/>
    </row>
  </sheetData>
  <mergeCells count="13">
    <mergeCell ref="B42:C42"/>
    <mergeCell ref="E33:K33"/>
    <mergeCell ref="B38:C38"/>
    <mergeCell ref="B2:K2"/>
    <mergeCell ref="B3:K3"/>
    <mergeCell ref="B4:K4"/>
    <mergeCell ref="C7:C8"/>
    <mergeCell ref="E6:K6"/>
    <mergeCell ref="F7:H7"/>
    <mergeCell ref="I7:K7"/>
    <mergeCell ref="B6:C6"/>
    <mergeCell ref="B7:B8"/>
    <mergeCell ref="E7:E8"/>
  </mergeCells>
  <phoneticPr fontId="3" type="noConversion"/>
  <conditionalFormatting sqref="D34:D35 C44 D39 C39:C40">
    <cfRule type="cellIs" dxfId="27" priority="40" operator="lessThan">
      <formula>0</formula>
    </cfRule>
  </conditionalFormatting>
  <conditionalFormatting sqref="K9:K32">
    <cfRule type="cellIs" dxfId="26" priority="22" operator="greaterThanOrEqual">
      <formula>0</formula>
    </cfRule>
    <cfRule type="cellIs" dxfId="25" priority="23" operator="lessThan">
      <formula>0</formula>
    </cfRule>
  </conditionalFormatting>
  <conditionalFormatting sqref="C37 C10:D13 D14:D32 C14:C33">
    <cfRule type="cellIs" dxfId="24" priority="19" operator="lessThan">
      <formula>0</formula>
    </cfRule>
  </conditionalFormatting>
  <conditionalFormatting sqref="C41">
    <cfRule type="cellIs" dxfId="23" priority="10" operator="lessThan">
      <formula>0</formula>
    </cfRule>
  </conditionalFormatting>
  <conditionalFormatting sqref="C45">
    <cfRule type="cellIs" dxfId="22" priority="9" operator="lessThan">
      <formula>0</formula>
    </cfRule>
  </conditionalFormatting>
  <conditionalFormatting sqref="C35">
    <cfRule type="cellIs" dxfId="21" priority="6" operator="lessThan">
      <formula>0</formula>
    </cfRule>
  </conditionalFormatting>
  <conditionalFormatting sqref="C36">
    <cfRule type="cellIs" dxfId="20" priority="5" operator="lessThan">
      <formula>0</formula>
    </cfRule>
  </conditionalFormatting>
  <conditionalFormatting sqref="H9:H21">
    <cfRule type="cellIs" dxfId="19" priority="3" operator="greaterThanOrEqual">
      <formula>0</formula>
    </cfRule>
    <cfRule type="cellIs" dxfId="18" priority="4" operator="lessThan">
      <formula>0</formula>
    </cfRule>
  </conditionalFormatting>
  <conditionalFormatting sqref="H32">
    <cfRule type="cellIs" dxfId="17" priority="1" operator="greaterThanOrEqual">
      <formula>0</formula>
    </cfRule>
    <cfRule type="cellIs" dxfId="16" priority="2" operator="lessThan">
      <formula>0</formula>
    </cfRule>
  </conditionalFormatting>
  <printOptions horizontalCentered="1" verticalCentered="1"/>
  <pageMargins left="0.39370078740157483" right="0.39370078740157483" top="0.74803149606299213" bottom="0.74803149606299213" header="0" footer="0"/>
  <pageSetup paperSize="9" scale="43" orientation="portrait" horizontalDpi="4294967292" verticalDpi="4294967292" r:id="rId1"/>
  <drawing r:id="rId2"/>
</worksheet>
</file>

<file path=xl/worksheets/sheet6.xml><?xml version="1.0" encoding="utf-8"?>
<worksheet xmlns="http://schemas.openxmlformats.org/spreadsheetml/2006/main" xmlns:r="http://schemas.openxmlformats.org/officeDocument/2006/relationships">
  <sheetPr>
    <tabColor theme="5"/>
    <pageSetUpPr fitToPage="1"/>
  </sheetPr>
  <dimension ref="A1:M69"/>
  <sheetViews>
    <sheetView zoomScale="88" zoomScaleNormal="62" workbookViewId="0">
      <selection activeCell="N12" sqref="N12"/>
    </sheetView>
  </sheetViews>
  <sheetFormatPr baseColWidth="10" defaultRowHeight="12.75"/>
  <cols>
    <col min="1" max="1" width="4.875" customWidth="1"/>
    <col min="2" max="2" width="67.375" customWidth="1"/>
    <col min="3" max="3" width="18.625" customWidth="1"/>
    <col min="4" max="4" width="6" customWidth="1"/>
    <col min="6" max="9" width="16.875" customWidth="1"/>
    <col min="10" max="10" width="16.875" style="745" customWidth="1"/>
    <col min="11" max="11" width="16.875" customWidth="1"/>
  </cols>
  <sheetData>
    <row r="1" spans="2:13" ht="21" customHeight="1" thickBot="1"/>
    <row r="2" spans="2:13" ht="27" customHeight="1">
      <c r="B2" s="1292" t="s">
        <v>404</v>
      </c>
      <c r="C2" s="1293"/>
      <c r="D2" s="1293"/>
      <c r="E2" s="1293"/>
      <c r="F2" s="1293"/>
      <c r="G2" s="1293"/>
      <c r="H2" s="1293"/>
      <c r="I2" s="1293"/>
      <c r="J2" s="1293"/>
      <c r="K2" s="1294"/>
    </row>
    <row r="3" spans="2:13" ht="27" customHeight="1">
      <c r="B3" s="1295" t="str">
        <f>'2-PRESENTATION DU PROJET'!B3:G3</f>
        <v>Projet de construction du marché (insérer le nom du projet)</v>
      </c>
      <c r="C3" s="1296"/>
      <c r="D3" s="1296"/>
      <c r="E3" s="1296"/>
      <c r="F3" s="1296"/>
      <c r="G3" s="1296"/>
      <c r="H3" s="1296"/>
      <c r="I3" s="1296"/>
      <c r="J3" s="1296"/>
      <c r="K3" s="1297"/>
    </row>
    <row r="4" spans="2:13" ht="27" customHeight="1" thickBot="1">
      <c r="B4" s="1317" t="str">
        <f>'2-PRESENTATION DU PROJET'!B4:G4</f>
        <v>au profit de la commune de (insère le nom de la commune)</v>
      </c>
      <c r="C4" s="1318"/>
      <c r="D4" s="1318"/>
      <c r="E4" s="1318"/>
      <c r="F4" s="1318"/>
      <c r="G4" s="1318"/>
      <c r="H4" s="1318"/>
      <c r="I4" s="1318"/>
      <c r="J4" s="1318"/>
      <c r="K4" s="1319"/>
    </row>
    <row r="5" spans="2:13" ht="26.1" customHeight="1" thickBot="1"/>
    <row r="6" spans="2:13" ht="26.1" customHeight="1" thickBot="1">
      <c r="B6" s="1301" t="s">
        <v>40</v>
      </c>
      <c r="C6" s="1303"/>
      <c r="E6" s="1320" t="s">
        <v>398</v>
      </c>
      <c r="F6" s="1321"/>
      <c r="G6" s="1321"/>
      <c r="H6" s="1321"/>
      <c r="I6" s="1321"/>
      <c r="J6" s="1321"/>
      <c r="K6" s="1322"/>
    </row>
    <row r="7" spans="2:13" ht="19.5" thickBot="1">
      <c r="B7" s="1309" t="s">
        <v>37</v>
      </c>
      <c r="C7" s="1299" t="s">
        <v>38</v>
      </c>
      <c r="E7" s="1326" t="s">
        <v>54</v>
      </c>
      <c r="F7" s="1323" t="s">
        <v>122</v>
      </c>
      <c r="G7" s="1305"/>
      <c r="H7" s="1306"/>
      <c r="I7" s="1324" t="s">
        <v>123</v>
      </c>
      <c r="J7" s="1324"/>
      <c r="K7" s="1325"/>
    </row>
    <row r="8" spans="2:13" ht="44.1" customHeight="1" thickBot="1">
      <c r="B8" s="1310"/>
      <c r="C8" s="1300"/>
      <c r="E8" s="1327"/>
      <c r="F8" s="1003" t="s">
        <v>200</v>
      </c>
      <c r="G8" s="1076" t="s">
        <v>201</v>
      </c>
      <c r="H8" s="1077" t="s">
        <v>202</v>
      </c>
      <c r="I8" s="1042" t="s">
        <v>200</v>
      </c>
      <c r="J8" s="973" t="s">
        <v>201</v>
      </c>
      <c r="K8" s="974" t="s">
        <v>202</v>
      </c>
    </row>
    <row r="9" spans="2:13" ht="24.95" customHeight="1">
      <c r="B9" s="734" t="s">
        <v>393</v>
      </c>
      <c r="C9" s="733"/>
      <c r="E9" s="1120">
        <v>2020</v>
      </c>
      <c r="F9" s="1104">
        <f>+'8-Calcul de base SANS TVA'!E68</f>
        <v>57904.057544630508</v>
      </c>
      <c r="G9" s="1105">
        <f>+'8-Calcul de base SANS TVA'!E60</f>
        <v>317907.20583930332</v>
      </c>
      <c r="H9" s="1106">
        <f t="shared" ref="H9:H21" si="0">+F9-G9</f>
        <v>-260003.14829467281</v>
      </c>
      <c r="I9" s="1045">
        <f>+'8-Calcul de base SANS TVA'!E69</f>
        <v>57904.057544630508</v>
      </c>
      <c r="J9" s="1115">
        <f>+'8-Calcul de base SANS TVA'!E$61</f>
        <v>317907.20583930332</v>
      </c>
      <c r="K9" s="1116">
        <f t="shared" ref="K9:K31" si="1">+I9-J9</f>
        <v>-260003.14829467281</v>
      </c>
    </row>
    <row r="10" spans="2:13" ht="24.95" customHeight="1">
      <c r="B10" s="688" t="s">
        <v>6</v>
      </c>
      <c r="C10" s="696">
        <f>+'3-DONNEES DE BASE'!G108</f>
        <v>0</v>
      </c>
      <c r="E10" s="1121">
        <f>+E9+1</f>
        <v>2021</v>
      </c>
      <c r="F10" s="1107">
        <f>+'8-Calcul de base SANS TVA'!F68</f>
        <v>136616.89250543059</v>
      </c>
      <c r="G10" s="1105">
        <f>+'8-Calcul de base SANS TVA'!F60</f>
        <v>791376.2650235797</v>
      </c>
      <c r="H10" s="1108">
        <f t="shared" si="0"/>
        <v>-654759.37251814909</v>
      </c>
      <c r="I10" s="983">
        <f>+'8-Calcul de base SANS TVA'!F69</f>
        <v>136616.89250543059</v>
      </c>
      <c r="J10" s="985">
        <f>+'8-Calcul de base SANS TVA'!F$61</f>
        <v>791376.2650235797</v>
      </c>
      <c r="K10" s="1117">
        <f t="shared" si="1"/>
        <v>-654759.37251814909</v>
      </c>
    </row>
    <row r="11" spans="2:13" ht="24.95" customHeight="1">
      <c r="B11" s="687" t="s">
        <v>110</v>
      </c>
      <c r="C11" s="736">
        <f>+'3-DONNEES DE BASE'!G112</f>
        <v>0</v>
      </c>
      <c r="E11" s="1121">
        <f>+E10+1</f>
        <v>2022</v>
      </c>
      <c r="F11" s="1107">
        <f>+'8-Calcul de base SANS TVA'!G68</f>
        <v>19545.66308262739</v>
      </c>
      <c r="G11" s="1105">
        <f>+'8-Calcul de base SANS TVA'!G60</f>
        <v>229176.22757128548</v>
      </c>
      <c r="H11" s="1108">
        <f t="shared" si="0"/>
        <v>-209630.5644886581</v>
      </c>
      <c r="I11" s="983">
        <f>+'8-Calcul de base SANS TVA'!G69</f>
        <v>19545.66308262739</v>
      </c>
      <c r="J11" s="985">
        <f>+'8-Calcul de base SANS TVA'!G$61</f>
        <v>229176.22757128548</v>
      </c>
      <c r="K11" s="1117">
        <f t="shared" si="1"/>
        <v>-209630.5644886581</v>
      </c>
      <c r="M11" s="767"/>
    </row>
    <row r="12" spans="2:13" ht="24.95" customHeight="1">
      <c r="B12" s="688" t="str">
        <f>'3-DONNEES DE BASE'!D6</f>
        <v xml:space="preserve">Population de ou des  Communes du Projet </v>
      </c>
      <c r="C12" s="696">
        <f>+'3-DONNEES DE BASE'!G10</f>
        <v>104000</v>
      </c>
      <c r="E12" s="1121">
        <f>+E11+1</f>
        <v>2023</v>
      </c>
      <c r="F12" s="1107">
        <f>+'8-Calcul de base SANS TVA'!H68</f>
        <v>37356.698376412649</v>
      </c>
      <c r="G12" s="1105">
        <f>+'8-Calcul de base SANS TVA'!H61</f>
        <v>0</v>
      </c>
      <c r="H12" s="1108">
        <f t="shared" si="0"/>
        <v>37356.698376412649</v>
      </c>
      <c r="I12" s="983">
        <f>+'8-Calcul de base SANS TVA'!H69</f>
        <v>37356.698376412649</v>
      </c>
      <c r="J12" s="985">
        <f>+'8-Calcul de base SANS TVA'!H$61</f>
        <v>0</v>
      </c>
      <c r="K12" s="1117">
        <f t="shared" si="1"/>
        <v>37356.698376412649</v>
      </c>
      <c r="M12" s="767"/>
    </row>
    <row r="13" spans="2:13" ht="24.95" customHeight="1">
      <c r="B13" s="356" t="s">
        <v>487</v>
      </c>
      <c r="C13" s="738">
        <f>+'9-Cout  projet avec et sans TVA'!V48</f>
        <v>1338459.6984341682</v>
      </c>
      <c r="E13" s="1121">
        <f>+E12+1</f>
        <v>2024</v>
      </c>
      <c r="F13" s="1107">
        <f>+'8-Calcul de base SANS TVA'!I68</f>
        <v>79943.349755280244</v>
      </c>
      <c r="G13" s="1105">
        <f>+'8-Calcul de base SANS TVA'!I60</f>
        <v>30928.920507799652</v>
      </c>
      <c r="H13" s="1108">
        <f t="shared" si="0"/>
        <v>49014.429247480592</v>
      </c>
      <c r="I13" s="983">
        <f>+'8-Calcul de base SANS TVA'!I69</f>
        <v>79943.349755280244</v>
      </c>
      <c r="J13" s="985">
        <f>+'8-Calcul de base SANS TVA'!I$61</f>
        <v>30928.920507799652</v>
      </c>
      <c r="K13" s="1117">
        <f t="shared" si="1"/>
        <v>49014.429247480592</v>
      </c>
      <c r="M13" s="767"/>
    </row>
    <row r="14" spans="2:13" ht="24.95" customHeight="1">
      <c r="B14" s="1171" t="s">
        <v>488</v>
      </c>
      <c r="C14" s="1061"/>
      <c r="E14" s="1121">
        <f>+E13+1</f>
        <v>2025</v>
      </c>
      <c r="F14" s="1107">
        <f>+'8-Calcul de base SANS TVA'!J68</f>
        <v>133045.4857909331</v>
      </c>
      <c r="G14" s="1105">
        <f>+'8-Calcul de base SANS TVA'!J60</f>
        <v>30928.920507799652</v>
      </c>
      <c r="H14" s="1108">
        <f t="shared" si="0"/>
        <v>102116.56528313344</v>
      </c>
      <c r="I14" s="983">
        <f>+'8-Calcul de base SANS TVA'!J69</f>
        <v>133045.4857909331</v>
      </c>
      <c r="J14" s="985">
        <f>+'8-Calcul de base SANS TVA'!J$61</f>
        <v>30928.920507799652</v>
      </c>
      <c r="K14" s="1117">
        <f t="shared" si="1"/>
        <v>102116.56528313344</v>
      </c>
      <c r="M14" s="767"/>
    </row>
    <row r="15" spans="2:13" ht="24.95" customHeight="1">
      <c r="B15" s="1172" t="s">
        <v>486</v>
      </c>
      <c r="C15" s="1063"/>
      <c r="E15" s="1121">
        <f t="shared" ref="E15:E31" si="2">+E14+1</f>
        <v>2026</v>
      </c>
      <c r="F15" s="1107">
        <f>+'8-Calcul de base SANS TVA'!K68</f>
        <v>199403.45671621041</v>
      </c>
      <c r="G15" s="1105">
        <f>+'8-Calcul de base SANS TVA'!K60</f>
        <v>30928.920507799652</v>
      </c>
      <c r="H15" s="1108">
        <f t="shared" si="0"/>
        <v>168474.53620841075</v>
      </c>
      <c r="I15" s="983">
        <f>+'8-Calcul de base SANS TVA'!K69</f>
        <v>199403.45671621041</v>
      </c>
      <c r="J15" s="985">
        <f>+'8-Calcul de base SANS TVA'!K$61</f>
        <v>30928.920507799652</v>
      </c>
      <c r="K15" s="1117">
        <f t="shared" si="1"/>
        <v>168474.53620841075</v>
      </c>
      <c r="M15" s="767"/>
    </row>
    <row r="16" spans="2:13" ht="24.95" customHeight="1" thickBot="1">
      <c r="B16" s="688" t="s">
        <v>397</v>
      </c>
      <c r="C16" s="739">
        <f>+C13/C12</f>
        <v>12.869804792636232</v>
      </c>
      <c r="E16" s="1121">
        <f t="shared" si="2"/>
        <v>2027</v>
      </c>
      <c r="F16" s="1107">
        <f>+'8-Calcul de base SANS TVA'!L68</f>
        <v>268514.46347559342</v>
      </c>
      <c r="G16" s="1105">
        <f>+'8-Calcul de base SANS TVA'!L60</f>
        <v>72234.148029076954</v>
      </c>
      <c r="H16" s="1108">
        <f t="shared" si="0"/>
        <v>196280.31544651647</v>
      </c>
      <c r="I16" s="983">
        <f>+'8-Calcul de base SANS TVA'!L$69</f>
        <v>268514.46347559342</v>
      </c>
      <c r="J16" s="985">
        <f>+'8-Calcul de base SANS TVA'!L$61</f>
        <v>72234.148029076954</v>
      </c>
      <c r="K16" s="1117">
        <f t="shared" si="1"/>
        <v>196280.31544651647</v>
      </c>
      <c r="M16" s="767"/>
    </row>
    <row r="17" spans="2:13" ht="24.95" customHeight="1">
      <c r="B17" s="704" t="str">
        <f>'3-DONNEES DE BASE'!D66</f>
        <v>Développement économique du projet</v>
      </c>
      <c r="C17" s="695"/>
      <c r="E17" s="1121">
        <f t="shared" si="2"/>
        <v>2028</v>
      </c>
      <c r="F17" s="1107">
        <f>+'8-Calcul de base SANS TVA'!M68</f>
        <v>289373.21146078757</v>
      </c>
      <c r="G17" s="1105">
        <f>+'8-Calcul de base SANS TVA'!M60</f>
        <v>30928.920507799652</v>
      </c>
      <c r="H17" s="1108">
        <f t="shared" si="0"/>
        <v>258444.29095298791</v>
      </c>
      <c r="I17" s="983">
        <f>+'8-Calcul de base SANS TVA'!M$69</f>
        <v>289373.21146078757</v>
      </c>
      <c r="J17" s="985">
        <f>+'8-Calcul de base SANS TVA'!M$61</f>
        <v>30928.920507799652</v>
      </c>
      <c r="K17" s="1117">
        <f t="shared" si="1"/>
        <v>258444.29095298791</v>
      </c>
      <c r="M17" s="767"/>
    </row>
    <row r="18" spans="2:13" ht="24.95" customHeight="1">
      <c r="B18" s="689" t="str">
        <f>'3-DONNEES DE BASE'!D68</f>
        <v>Nombre des commerçants locataires</v>
      </c>
      <c r="C18" s="699"/>
      <c r="E18" s="1121">
        <f t="shared" si="2"/>
        <v>2029</v>
      </c>
      <c r="F18" s="1107">
        <f>+'8-Calcul de base SANS TVA'!N68</f>
        <v>311143.44893308298</v>
      </c>
      <c r="G18" s="1105">
        <f>+'8-Calcul de base SANS TVA'!N60</f>
        <v>30928.920507799652</v>
      </c>
      <c r="H18" s="1108">
        <f t="shared" si="0"/>
        <v>280214.52842528332</v>
      </c>
      <c r="I18" s="983">
        <f>+'8-Calcul de base SANS TVA'!N$69</f>
        <v>311143.44893308298</v>
      </c>
      <c r="J18" s="985">
        <f>+'8-Calcul de base SANS TVA'!N$61</f>
        <v>30928.920507799652</v>
      </c>
      <c r="K18" s="1117">
        <f t="shared" si="1"/>
        <v>280214.52842528332</v>
      </c>
      <c r="M18" s="767"/>
    </row>
    <row r="19" spans="2:13" ht="24.95" customHeight="1">
      <c r="B19" s="690" t="s">
        <v>243</v>
      </c>
      <c r="C19" s="696">
        <f>'3-DONNEES DE BASE'!G68</f>
        <v>100</v>
      </c>
      <c r="E19" s="1121">
        <f t="shared" si="2"/>
        <v>2030</v>
      </c>
      <c r="F19" s="1109">
        <f>+'8-Calcul de base SANS TVA'!O68</f>
        <v>333870.75036683539</v>
      </c>
      <c r="G19" s="1080">
        <f>+'8-Calcul de base SANS TVA'!O60</f>
        <v>30928.920507799652</v>
      </c>
      <c r="H19" s="1108">
        <f t="shared" si="0"/>
        <v>302941.82985903573</v>
      </c>
      <c r="I19" s="984">
        <f>+'8-Calcul de base SANS TVA'!O$69</f>
        <v>333870.75036683539</v>
      </c>
      <c r="J19" s="977">
        <f>+'8-Calcul de base SANS TVA'!O$61</f>
        <v>30928.920507799652</v>
      </c>
      <c r="K19" s="1117">
        <f t="shared" si="1"/>
        <v>302941.82985903573</v>
      </c>
      <c r="M19" s="767"/>
    </row>
    <row r="20" spans="2:13" ht="24.95" customHeight="1">
      <c r="B20" s="690" t="s">
        <v>244</v>
      </c>
      <c r="C20" s="696">
        <f>'3-DONNEES DE BASE'!G70</f>
        <v>200</v>
      </c>
      <c r="E20" s="1121">
        <f t="shared" si="2"/>
        <v>2031</v>
      </c>
      <c r="F20" s="1109">
        <f>+'8-Calcul de base SANS TVA'!P68</f>
        <v>357602.96896011697</v>
      </c>
      <c r="G20" s="1080">
        <f>+'8-Calcul de base SANS TVA'!P60</f>
        <v>30928.920507799652</v>
      </c>
      <c r="H20" s="1108">
        <f t="shared" si="0"/>
        <v>326674.04845231731</v>
      </c>
      <c r="I20" s="984">
        <f>+'8-Calcul de base SANS TVA'!P$69</f>
        <v>357602.96896011697</v>
      </c>
      <c r="J20" s="977">
        <f>+'8-Calcul de base SANS TVA'!P$61</f>
        <v>30928.920507799652</v>
      </c>
      <c r="K20" s="1117">
        <f t="shared" si="1"/>
        <v>326674.04845231731</v>
      </c>
    </row>
    <row r="21" spans="2:13" s="116" customFormat="1" ht="24.95" customHeight="1">
      <c r="B21" s="691" t="s">
        <v>7</v>
      </c>
      <c r="C21" s="700">
        <f>+'3-DONNEES DE BASE'!H72</f>
        <v>130</v>
      </c>
      <c r="E21" s="1121">
        <f t="shared" si="2"/>
        <v>2032</v>
      </c>
      <c r="F21" s="1109">
        <f>+'8-Calcul de base SANS TVA'!Q68</f>
        <v>1285236.0874076169</v>
      </c>
      <c r="G21" s="1080">
        <f>+'8-Calcul de base SANS TVA'!Q60</f>
        <v>30928.920507799652</v>
      </c>
      <c r="H21" s="1108">
        <f t="shared" si="0"/>
        <v>1254307.1668998173</v>
      </c>
      <c r="I21" s="984">
        <f>+'8-Calcul de base SANS TVA'!Q$69</f>
        <v>385019.30881406763</v>
      </c>
      <c r="J21" s="977">
        <f>+'8-Calcul de base SANS TVA'!Q$61</f>
        <v>149283.90920970213</v>
      </c>
      <c r="K21" s="1117">
        <f t="shared" si="1"/>
        <v>235735.39960436549</v>
      </c>
    </row>
    <row r="22" spans="2:13" s="116" customFormat="1" ht="24.95" customHeight="1">
      <c r="B22" s="692" t="str">
        <f>'3-DONNEES DE BASE'!D76</f>
        <v>Charges d'exploitation afférentes au Projet</v>
      </c>
      <c r="C22" s="698"/>
      <c r="E22" s="1121">
        <f t="shared" si="2"/>
        <v>2033</v>
      </c>
      <c r="F22" s="1107"/>
      <c r="G22" s="1105"/>
      <c r="H22" s="1105"/>
      <c r="I22" s="983">
        <f>+'8-Calcul de base SANS TVA'!R$69</f>
        <v>408285.65335007349</v>
      </c>
      <c r="J22" s="985">
        <f>+'8-Calcul de base SANS TVA'!R$61</f>
        <v>30928.920507799652</v>
      </c>
      <c r="K22" s="1117">
        <f t="shared" si="1"/>
        <v>377356.73284227384</v>
      </c>
    </row>
    <row r="23" spans="2:13" s="116" customFormat="1" ht="24.95" customHeight="1">
      <c r="B23" s="688" t="str">
        <f>'3-DONNEES DE BASE'!D82</f>
        <v>Total frais du personnel/ans</v>
      </c>
      <c r="C23" s="697">
        <f>+'8-Calcul de base SANS TVA'!H40</f>
        <v>12046.13728590752</v>
      </c>
      <c r="E23" s="1121">
        <f t="shared" si="2"/>
        <v>2034</v>
      </c>
      <c r="F23" s="1107"/>
      <c r="G23" s="1105"/>
      <c r="H23" s="1105"/>
      <c r="I23" s="983">
        <f>+'8-Calcul de base SANS TVA'!S$69</f>
        <v>432715.31511287962</v>
      </c>
      <c r="J23" s="985">
        <f>+'8-Calcul de base SANS TVA'!S$61</f>
        <v>0</v>
      </c>
      <c r="K23" s="1117">
        <f t="shared" si="1"/>
        <v>432715.31511287962</v>
      </c>
    </row>
    <row r="24" spans="2:13" ht="24.95" customHeight="1">
      <c r="B24" s="688" t="s">
        <v>28</v>
      </c>
      <c r="C24" s="749">
        <f>+'8-Calcul de base SANS TVA'!H42</f>
        <v>40153.790953025062</v>
      </c>
      <c r="E24" s="1121">
        <f t="shared" si="2"/>
        <v>2035</v>
      </c>
      <c r="F24" s="1107"/>
      <c r="G24" s="1105"/>
      <c r="H24" s="1105"/>
      <c r="I24" s="983">
        <f>+'8-Calcul de base SANS TVA'!T$69</f>
        <v>458366.45996382606</v>
      </c>
      <c r="J24" s="985">
        <f>+'8-Calcul de base SANS TVA'!T$60</f>
        <v>0</v>
      </c>
      <c r="K24" s="1117">
        <f t="shared" si="1"/>
        <v>458366.45996382606</v>
      </c>
    </row>
    <row r="25" spans="2:13" ht="24.95" customHeight="1" thickBot="1">
      <c r="B25" s="693" t="s">
        <v>224</v>
      </c>
      <c r="C25" s="750">
        <f>+'8-Calcul de base SANS TVA'!H44</f>
        <v>40153.790953025062</v>
      </c>
      <c r="E25" s="1121">
        <f t="shared" si="2"/>
        <v>2036</v>
      </c>
      <c r="F25" s="1107"/>
      <c r="G25" s="1105"/>
      <c r="H25" s="1105"/>
      <c r="I25" s="983">
        <f>+'8-Calcul de base SANS TVA'!U$69</f>
        <v>485300.16205731995</v>
      </c>
      <c r="J25" s="985">
        <f>+'8-Calcul de base SANS TVA'!U$61</f>
        <v>0</v>
      </c>
      <c r="K25" s="1117">
        <f t="shared" si="1"/>
        <v>485300.16205731995</v>
      </c>
    </row>
    <row r="26" spans="2:13" ht="24.95" customHeight="1">
      <c r="B26" s="732" t="s">
        <v>247</v>
      </c>
      <c r="C26" s="703">
        <f>C13*C35</f>
        <v>0</v>
      </c>
      <c r="E26" s="1121">
        <f t="shared" si="2"/>
        <v>2037</v>
      </c>
      <c r="F26" s="1107"/>
      <c r="G26" s="1105"/>
      <c r="H26" s="1105"/>
      <c r="I26" s="983">
        <f>+'8-Calcul de base SANS TVA'!V$69</f>
        <v>513580.54925548844</v>
      </c>
      <c r="J26" s="985">
        <f>+'8-Calcul de base SANS TVA'!V$61</f>
        <v>55510.771818380177</v>
      </c>
      <c r="K26" s="1117">
        <f t="shared" si="1"/>
        <v>458069.77743710828</v>
      </c>
    </row>
    <row r="27" spans="2:13" ht="24.95" customHeight="1">
      <c r="B27" s="688" t="s">
        <v>8</v>
      </c>
      <c r="C27" s="701">
        <f>'3-DONNEES DE BASE'!E88</f>
        <v>8.5000000000000006E-2</v>
      </c>
      <c r="E27" s="1121">
        <f t="shared" si="2"/>
        <v>2038</v>
      </c>
      <c r="F27" s="1107"/>
      <c r="G27" s="1105"/>
      <c r="H27" s="1105"/>
      <c r="I27" s="983">
        <f>+'8-Calcul de base SANS TVA'!W$69</f>
        <v>543274.95581356564</v>
      </c>
      <c r="J27" s="985">
        <f>+'8-Calcul de base SANS TVA'!W$61</f>
        <v>0</v>
      </c>
      <c r="K27" s="1117">
        <f t="shared" si="1"/>
        <v>543274.95581356564</v>
      </c>
    </row>
    <row r="28" spans="2:13" ht="24.95" customHeight="1">
      <c r="B28" s="688" t="s">
        <v>241</v>
      </c>
      <c r="C28" s="696">
        <f>'3-DONNEES DE BASE'!J89</f>
        <v>10</v>
      </c>
      <c r="E28" s="1121">
        <f t="shared" si="2"/>
        <v>2039</v>
      </c>
      <c r="F28" s="1107"/>
      <c r="G28" s="1105"/>
      <c r="H28" s="1105"/>
      <c r="I28" s="983">
        <f>+'8-Calcul de base SANS TVA'!X$69</f>
        <v>574454.08269954636</v>
      </c>
      <c r="J28" s="985">
        <f>+'8-Calcul de base SANS TVA'!X$61</f>
        <v>0</v>
      </c>
      <c r="K28" s="1117">
        <f t="shared" si="1"/>
        <v>574454.08269954636</v>
      </c>
    </row>
    <row r="29" spans="2:13" ht="24.95" customHeight="1" thickBot="1">
      <c r="B29" s="693" t="s">
        <v>249</v>
      </c>
      <c r="C29" s="735">
        <f>'3-DONNEES DE BASE'!J90</f>
        <v>1</v>
      </c>
      <c r="E29" s="1121">
        <f t="shared" si="2"/>
        <v>2040</v>
      </c>
      <c r="F29" s="1107"/>
      <c r="G29" s="1105"/>
      <c r="H29" s="1105"/>
      <c r="I29" s="983">
        <f>+'8-Calcul de base SANS TVA'!Y$69</f>
        <v>607192.16592982609</v>
      </c>
      <c r="J29" s="985">
        <f>+'8-Calcul de base SANS TVA'!Y$61</f>
        <v>0</v>
      </c>
      <c r="K29" s="1117">
        <f t="shared" si="1"/>
        <v>607192.16592982609</v>
      </c>
    </row>
    <row r="30" spans="2:13" ht="24.95" customHeight="1">
      <c r="B30" s="732" t="s">
        <v>246</v>
      </c>
      <c r="C30" s="703">
        <f>C13*C36</f>
        <v>133845.96984341682</v>
      </c>
      <c r="E30" s="1121">
        <f t="shared" si="2"/>
        <v>2041</v>
      </c>
      <c r="F30" s="1107"/>
      <c r="G30" s="1105"/>
      <c r="H30" s="1105"/>
      <c r="I30" s="983">
        <f>+'8-Calcul de base SANS TVA'!Z$69</f>
        <v>641567.15332162008</v>
      </c>
      <c r="J30" s="985">
        <f>+'8-Calcul de base SANS TVA'!Z$61</f>
        <v>0</v>
      </c>
      <c r="K30" s="1117">
        <f t="shared" si="1"/>
        <v>641567.15332162008</v>
      </c>
    </row>
    <row r="31" spans="2:13" ht="24.95" customHeight="1" thickBot="1">
      <c r="B31" s="694" t="s">
        <v>119</v>
      </c>
      <c r="C31" s="702">
        <f>+'3-DONNEES DE BASE'!E92</f>
        <v>0.1</v>
      </c>
      <c r="E31" s="1122">
        <f t="shared" si="2"/>
        <v>2042</v>
      </c>
      <c r="F31" s="1110"/>
      <c r="G31" s="1111"/>
      <c r="H31" s="1111"/>
      <c r="I31" s="1050">
        <f>+'8-Calcul de base SANS TVA'!AA$69</f>
        <v>1484204.9392245179</v>
      </c>
      <c r="J31" s="1118">
        <f>+'8-Calcul de base SANS TVA'!AA$61</f>
        <v>0</v>
      </c>
      <c r="K31" s="1119">
        <f t="shared" si="1"/>
        <v>1484204.9392245179</v>
      </c>
    </row>
    <row r="32" spans="2:13" ht="24.95" customHeight="1" thickBot="1">
      <c r="B32" s="694" t="s">
        <v>248</v>
      </c>
      <c r="C32" s="696">
        <f>+'3-DONNEES DE BASE'!J93</f>
        <v>7</v>
      </c>
      <c r="E32" s="1123" t="s">
        <v>245</v>
      </c>
      <c r="F32" s="1112">
        <f t="shared" ref="F32:K32" si="3">+SUM(F9:F31)</f>
        <v>3509556.5343755581</v>
      </c>
      <c r="G32" s="1113">
        <f t="shared" si="3"/>
        <v>1658125.2105256424</v>
      </c>
      <c r="H32" s="1114">
        <f t="shared" si="3"/>
        <v>1851431.3238499155</v>
      </c>
      <c r="I32" s="1051">
        <f t="shared" si="3"/>
        <v>8758281.1925106719</v>
      </c>
      <c r="J32" s="981">
        <f t="shared" si="3"/>
        <v>1862919.8915537247</v>
      </c>
      <c r="K32" s="982">
        <f t="shared" si="3"/>
        <v>6895361.3009569477</v>
      </c>
    </row>
    <row r="33" spans="1:11" ht="24.95" customHeight="1" thickBot="1">
      <c r="B33" s="693" t="s">
        <v>242</v>
      </c>
      <c r="C33" s="735">
        <f>+'3-DONNEES DE BASE'!J94</f>
        <v>3</v>
      </c>
      <c r="E33" s="1289" t="s">
        <v>489</v>
      </c>
      <c r="F33" s="1289"/>
      <c r="G33" s="1289"/>
      <c r="H33" s="1289"/>
      <c r="I33" s="1289"/>
      <c r="J33" s="1289"/>
      <c r="K33" s="1289"/>
    </row>
    <row r="34" spans="1:11" ht="24.95" customHeight="1">
      <c r="A34" s="40"/>
      <c r="B34" s="1091" t="s">
        <v>396</v>
      </c>
      <c r="C34" s="1102"/>
      <c r="D34" s="40"/>
      <c r="E34" s="116"/>
      <c r="F34" s="116"/>
      <c r="G34" s="116"/>
      <c r="H34" s="116"/>
      <c r="I34" s="116"/>
      <c r="J34" s="116"/>
      <c r="K34" s="116"/>
    </row>
    <row r="35" spans="1:11" ht="24.95" customHeight="1">
      <c r="B35" s="1088" t="s">
        <v>430</v>
      </c>
      <c r="C35" s="1103">
        <f>+'3-DONNEES DE BASE'!E91</f>
        <v>0</v>
      </c>
      <c r="E35" s="40"/>
      <c r="F35" s="40"/>
      <c r="G35" s="40"/>
      <c r="H35" s="40"/>
      <c r="I35" s="40"/>
      <c r="J35" s="751"/>
      <c r="K35" s="40"/>
    </row>
    <row r="36" spans="1:11" s="116" customFormat="1" ht="24.95" customHeight="1" thickBot="1">
      <c r="B36" s="1049" t="s">
        <v>100</v>
      </c>
      <c r="C36" s="1059">
        <f>+'3-DONNEES DE BASE'!E92</f>
        <v>0.1</v>
      </c>
      <c r="E36" s="40"/>
      <c r="F36" s="40"/>
      <c r="G36" s="40"/>
      <c r="H36" s="40"/>
      <c r="I36" s="40"/>
      <c r="J36" s="751"/>
      <c r="K36" s="40"/>
    </row>
    <row r="37" spans="1:11" ht="30" customHeight="1" thickBot="1">
      <c r="B37" s="686"/>
      <c r="C37" s="743"/>
      <c r="E37" s="40"/>
      <c r="F37" s="40"/>
      <c r="G37" s="40"/>
      <c r="H37" s="40"/>
      <c r="I37" s="40"/>
      <c r="J37" s="751"/>
      <c r="K37" s="40"/>
    </row>
    <row r="38" spans="1:11" ht="27" customHeight="1" thickBot="1">
      <c r="B38" s="1313" t="s">
        <v>492</v>
      </c>
      <c r="C38" s="1314"/>
      <c r="E38" s="40"/>
      <c r="F38" s="40"/>
      <c r="G38" s="40"/>
      <c r="H38" s="40"/>
      <c r="I38" s="40"/>
      <c r="J38" s="751"/>
      <c r="K38" s="40"/>
    </row>
    <row r="39" spans="1:11" ht="27" customHeight="1">
      <c r="B39" s="1046" t="s">
        <v>469</v>
      </c>
      <c r="C39" s="1057">
        <f>+NPV(5%,(H9:H21))</f>
        <v>738162.50416471134</v>
      </c>
      <c r="E39" s="40"/>
      <c r="F39" s="40"/>
      <c r="G39" s="40"/>
      <c r="H39" s="40"/>
      <c r="I39" s="40"/>
      <c r="J39" s="751"/>
      <c r="K39" s="40"/>
    </row>
    <row r="40" spans="1:11" ht="27" customHeight="1">
      <c r="B40" s="1047" t="s">
        <v>392</v>
      </c>
      <c r="C40" s="1058">
        <f>+'8-Calcul de base SANS TVA'!D72</f>
        <v>0.11958759472154706</v>
      </c>
      <c r="E40" s="40"/>
      <c r="F40" s="40"/>
      <c r="G40" s="40"/>
      <c r="H40" s="40"/>
      <c r="I40" s="40"/>
      <c r="J40" s="751"/>
      <c r="K40" s="40"/>
    </row>
    <row r="41" spans="1:11" ht="27" customHeight="1" thickBot="1">
      <c r="B41" s="1048" t="s">
        <v>470</v>
      </c>
      <c r="C41" s="1056" t="e">
        <f ca="1">_xlfn.MINIFS('8-Calcul de base SANS TVA'!E79:AA79,'8-Calcul de base SANS TVA'!E83:AA83,"DRCI")</f>
        <v>#NAME?</v>
      </c>
      <c r="E41" s="40"/>
      <c r="F41" s="40"/>
      <c r="G41" s="40"/>
      <c r="H41" s="40"/>
      <c r="I41" s="40"/>
      <c r="J41" s="751"/>
      <c r="K41" s="40"/>
    </row>
    <row r="42" spans="1:11" ht="27" customHeight="1" thickBot="1">
      <c r="B42" s="1315" t="s">
        <v>493</v>
      </c>
      <c r="C42" s="1316"/>
      <c r="E42" s="40"/>
      <c r="F42" s="40"/>
      <c r="G42" s="40"/>
      <c r="H42" s="40"/>
      <c r="I42" s="40"/>
      <c r="J42" s="751"/>
      <c r="K42" s="40"/>
    </row>
    <row r="43" spans="1:11" ht="27" customHeight="1">
      <c r="B43" s="1100" t="s">
        <v>471</v>
      </c>
      <c r="C43" s="1127">
        <f>+NPV(5%,(K9:K31))</f>
        <v>2560760.9010815369</v>
      </c>
      <c r="E43" s="40"/>
      <c r="F43" s="40"/>
      <c r="G43" s="40"/>
      <c r="H43" s="40"/>
      <c r="I43" s="40"/>
      <c r="J43" s="751"/>
      <c r="K43" s="40"/>
    </row>
    <row r="44" spans="1:11" ht="27" customHeight="1">
      <c r="B44" s="1101" t="s">
        <v>391</v>
      </c>
      <c r="C44" s="1128">
        <f>+'8-Calcul de base SANS TVA'!D73</f>
        <v>0.16119116638559053</v>
      </c>
      <c r="E44" s="40"/>
      <c r="F44" s="40"/>
      <c r="G44" s="40"/>
      <c r="H44" s="40"/>
      <c r="I44" s="40"/>
      <c r="J44" s="751"/>
      <c r="K44" s="40"/>
    </row>
    <row r="45" spans="1:11" ht="27" customHeight="1" thickBot="1">
      <c r="B45" s="1129" t="s">
        <v>470</v>
      </c>
      <c r="C45" s="1075" t="e">
        <f ca="1">_xlfn.MINIFS('8-Calcul de base SANS TVA'!E79:AA79,'8-Calcul de base SANS TVA'!E86:AA86,"DRCI")</f>
        <v>#NAME?</v>
      </c>
      <c r="F45" s="115"/>
      <c r="G45" s="115"/>
      <c r="H45" s="115"/>
      <c r="I45" s="115"/>
      <c r="J45" s="1124"/>
      <c r="K45" s="115"/>
    </row>
    <row r="46" spans="1:11">
      <c r="F46" s="115"/>
      <c r="G46" s="115"/>
      <c r="H46" s="115"/>
      <c r="I46" s="115"/>
      <c r="J46" s="1124"/>
      <c r="K46" s="115"/>
    </row>
    <row r="47" spans="1:11" s="116" customFormat="1" ht="27" customHeight="1">
      <c r="B47" s="1126" t="s">
        <v>495</v>
      </c>
      <c r="E47" s="1126" t="s">
        <v>494</v>
      </c>
      <c r="F47" s="115"/>
      <c r="G47" s="115"/>
      <c r="H47" s="115"/>
      <c r="I47" s="115"/>
      <c r="J47" s="1124"/>
      <c r="K47" s="115"/>
    </row>
    <row r="48" spans="1:11" s="116" customFormat="1" ht="18.95" customHeight="1">
      <c r="B48" s="1125" t="s">
        <v>497</v>
      </c>
      <c r="E48" s="1126" t="str">
        <f>IF(C40&gt;10%,"En principe, le projet est financièrement rentable","En principe, le projet n'est pas financièrement rentable")</f>
        <v>En principe, le projet est financièrement rentable</v>
      </c>
      <c r="F48" s="40"/>
      <c r="G48" s="40"/>
      <c r="H48" s="40"/>
      <c r="I48" s="40"/>
      <c r="J48" s="751"/>
      <c r="K48" s="40"/>
    </row>
    <row r="49" spans="2:11" s="116" customFormat="1" ht="18.95" customHeight="1">
      <c r="B49" s="1125" t="s">
        <v>496</v>
      </c>
      <c r="E49" s="40"/>
      <c r="F49" s="40"/>
      <c r="G49" s="40"/>
      <c r="H49" s="40"/>
      <c r="I49" s="40"/>
      <c r="J49" s="751"/>
      <c r="K49" s="40"/>
    </row>
    <row r="50" spans="2:11">
      <c r="E50" s="40"/>
      <c r="F50" s="40"/>
      <c r="G50" s="40"/>
      <c r="H50" s="40"/>
      <c r="I50" s="40"/>
      <c r="J50" s="751"/>
      <c r="K50" s="40"/>
    </row>
    <row r="51" spans="2:11">
      <c r="E51" s="40"/>
      <c r="F51" s="40"/>
      <c r="G51" s="40"/>
      <c r="H51" s="40"/>
      <c r="I51" s="40"/>
      <c r="J51" s="751"/>
      <c r="K51" s="40"/>
    </row>
    <row r="52" spans="2:11">
      <c r="E52" s="40"/>
      <c r="F52" s="40"/>
      <c r="G52" s="40"/>
      <c r="H52" s="40"/>
      <c r="I52" s="40"/>
      <c r="J52" s="751"/>
      <c r="K52" s="40"/>
    </row>
    <row r="53" spans="2:11">
      <c r="E53" s="40"/>
      <c r="F53" s="40"/>
      <c r="G53" s="40"/>
      <c r="H53" s="40"/>
      <c r="I53" s="40"/>
      <c r="J53" s="751"/>
      <c r="K53" s="40"/>
    </row>
    <row r="54" spans="2:11">
      <c r="E54" s="40"/>
      <c r="F54" s="40"/>
      <c r="G54" s="40"/>
      <c r="H54" s="40"/>
      <c r="I54" s="40"/>
      <c r="J54" s="751"/>
      <c r="K54" s="40"/>
    </row>
    <row r="55" spans="2:11">
      <c r="E55" s="40"/>
      <c r="F55" s="40"/>
      <c r="G55" s="40"/>
      <c r="H55" s="40"/>
      <c r="I55" s="40"/>
      <c r="J55" s="751"/>
      <c r="K55" s="40"/>
    </row>
    <row r="56" spans="2:11">
      <c r="E56" s="40"/>
      <c r="F56" s="40"/>
      <c r="G56" s="40"/>
      <c r="H56" s="40"/>
      <c r="I56" s="40"/>
      <c r="J56" s="751"/>
      <c r="K56" s="40"/>
    </row>
    <row r="57" spans="2:11">
      <c r="E57" s="40"/>
      <c r="F57" s="40"/>
      <c r="G57" s="40"/>
      <c r="H57" s="40"/>
      <c r="I57" s="40"/>
      <c r="J57" s="751"/>
      <c r="K57" s="40"/>
    </row>
    <row r="58" spans="2:11">
      <c r="E58" s="40"/>
      <c r="F58" s="40"/>
      <c r="G58" s="40"/>
      <c r="H58" s="40"/>
      <c r="I58" s="40"/>
      <c r="J58" s="751"/>
      <c r="K58" s="40"/>
    </row>
    <row r="59" spans="2:11">
      <c r="E59" s="40"/>
      <c r="F59" s="40"/>
      <c r="G59" s="40"/>
      <c r="H59" s="40"/>
      <c r="I59" s="40"/>
      <c r="J59" s="751"/>
      <c r="K59" s="40"/>
    </row>
    <row r="60" spans="2:11">
      <c r="E60" s="40"/>
      <c r="F60" s="40"/>
      <c r="G60" s="40"/>
      <c r="H60" s="40"/>
      <c r="I60" s="40"/>
      <c r="J60" s="751"/>
      <c r="K60" s="40"/>
    </row>
    <row r="61" spans="2:11">
      <c r="E61" s="40"/>
      <c r="F61" s="40"/>
      <c r="G61" s="40"/>
      <c r="H61" s="40"/>
      <c r="I61" s="40"/>
      <c r="J61" s="751"/>
      <c r="K61" s="40"/>
    </row>
    <row r="62" spans="2:11">
      <c r="E62" s="40"/>
      <c r="F62" s="40"/>
      <c r="G62" s="40"/>
      <c r="H62" s="40"/>
      <c r="I62" s="40"/>
      <c r="J62" s="751"/>
      <c r="K62" s="40"/>
    </row>
    <row r="63" spans="2:11">
      <c r="E63" s="40"/>
      <c r="F63" s="40"/>
      <c r="G63" s="40"/>
      <c r="H63" s="40"/>
      <c r="I63" s="40"/>
      <c r="J63" s="751"/>
      <c r="K63" s="40"/>
    </row>
    <row r="64" spans="2:11">
      <c r="E64" s="40"/>
      <c r="F64" s="40"/>
      <c r="G64" s="40"/>
      <c r="H64" s="40"/>
      <c r="I64" s="40"/>
      <c r="J64" s="751"/>
      <c r="K64" s="40"/>
    </row>
    <row r="65" spans="5:11">
      <c r="E65" s="40"/>
      <c r="F65" s="40"/>
      <c r="G65" s="40"/>
      <c r="H65" s="40"/>
      <c r="I65" s="40"/>
      <c r="J65" s="751"/>
      <c r="K65" s="40"/>
    </row>
    <row r="66" spans="5:11">
      <c r="E66" s="40"/>
      <c r="F66" s="40"/>
      <c r="G66" s="40"/>
      <c r="H66" s="40"/>
      <c r="I66" s="40"/>
      <c r="J66" s="751"/>
      <c r="K66" s="40"/>
    </row>
    <row r="67" spans="5:11">
      <c r="E67" s="40"/>
      <c r="F67" s="40"/>
      <c r="G67" s="40"/>
      <c r="H67" s="40"/>
      <c r="I67" s="40"/>
      <c r="J67" s="751"/>
      <c r="K67" s="40"/>
    </row>
    <row r="68" spans="5:11">
      <c r="E68" s="40"/>
      <c r="F68" s="40"/>
      <c r="G68" s="40"/>
      <c r="H68" s="40"/>
      <c r="I68" s="40"/>
      <c r="J68" s="751"/>
      <c r="K68" s="40"/>
    </row>
    <row r="69" spans="5:11">
      <c r="E69" s="40"/>
      <c r="F69" s="40"/>
      <c r="G69" s="40"/>
      <c r="H69" s="40"/>
      <c r="I69" s="40"/>
      <c r="J69" s="751"/>
      <c r="K69" s="40"/>
    </row>
  </sheetData>
  <mergeCells count="13">
    <mergeCell ref="B38:C38"/>
    <mergeCell ref="B42:C42"/>
    <mergeCell ref="E33:K33"/>
    <mergeCell ref="B2:K2"/>
    <mergeCell ref="B3:K3"/>
    <mergeCell ref="B4:K4"/>
    <mergeCell ref="E6:K6"/>
    <mergeCell ref="F7:H7"/>
    <mergeCell ref="I7:K7"/>
    <mergeCell ref="E7:E8"/>
    <mergeCell ref="B6:C6"/>
    <mergeCell ref="B7:B8"/>
    <mergeCell ref="C7:C8"/>
  </mergeCells>
  <conditionalFormatting sqref="C40">
    <cfRule type="cellIs" dxfId="15" priority="10" operator="lessThan">
      <formula>0</formula>
    </cfRule>
  </conditionalFormatting>
  <conditionalFormatting sqref="C10:C33 C37">
    <cfRule type="cellIs" dxfId="14" priority="22" operator="lessThan">
      <formula>0</formula>
    </cfRule>
  </conditionalFormatting>
  <conditionalFormatting sqref="C45">
    <cfRule type="cellIs" dxfId="13" priority="8" operator="lessThan">
      <formula>0</formula>
    </cfRule>
  </conditionalFormatting>
  <conditionalFormatting sqref="K9:K32 H9:H21">
    <cfRule type="cellIs" dxfId="12" priority="6" operator="greaterThanOrEqual">
      <formula>0</formula>
    </cfRule>
    <cfRule type="cellIs" dxfId="11" priority="7" operator="lessThan">
      <formula>0</formula>
    </cfRule>
  </conditionalFormatting>
  <conditionalFormatting sqref="C41">
    <cfRule type="cellIs" dxfId="10" priority="5" operator="lessThan">
      <formula>0</formula>
    </cfRule>
  </conditionalFormatting>
  <conditionalFormatting sqref="H32">
    <cfRule type="cellIs" dxfId="9" priority="1" operator="greaterThanOrEqual">
      <formula>0</formula>
    </cfRule>
    <cfRule type="cellIs" dxfId="8" priority="2" operator="lessThan">
      <formula>0</formula>
    </cfRule>
  </conditionalFormatting>
  <printOptions horizontalCentered="1" verticalCentered="1"/>
  <pageMargins left="0.39370078740157483" right="0.39370078740157483" top="0.74803149606299213" bottom="0.39370078740157483" header="0" footer="0"/>
  <pageSetup paperSize="9" scale="44" orientation="portrait" r:id="rId1"/>
  <drawing r:id="rId2"/>
</worksheet>
</file>

<file path=xl/worksheets/sheet7.xml><?xml version="1.0" encoding="utf-8"?>
<worksheet xmlns="http://schemas.openxmlformats.org/spreadsheetml/2006/main" xmlns:r="http://schemas.openxmlformats.org/officeDocument/2006/relationships">
  <sheetPr>
    <tabColor theme="6" tint="0.39997558519241921"/>
  </sheetPr>
  <dimension ref="B1:R26"/>
  <sheetViews>
    <sheetView workbookViewId="0">
      <selection activeCell="M9" sqref="M9"/>
    </sheetView>
  </sheetViews>
  <sheetFormatPr baseColWidth="10" defaultRowHeight="12.75"/>
  <cols>
    <col min="1" max="1" width="5" customWidth="1"/>
    <col min="6" max="7" width="13.125" customWidth="1"/>
    <col min="8" max="8" width="14.375" customWidth="1"/>
    <col min="10" max="10" width="19.875" customWidth="1"/>
    <col min="11" max="11" width="13.875" customWidth="1"/>
    <col min="19" max="19" width="15.625" customWidth="1"/>
  </cols>
  <sheetData>
    <row r="1" spans="2:18" ht="13.5" thickBot="1"/>
    <row r="2" spans="2:18" s="6" customFormat="1" ht="18.95" customHeight="1">
      <c r="B2" s="1292" t="s">
        <v>519</v>
      </c>
      <c r="C2" s="1293"/>
      <c r="D2" s="1293"/>
      <c r="E2" s="1293"/>
      <c r="F2" s="1293"/>
      <c r="G2" s="1293"/>
      <c r="H2" s="1293"/>
      <c r="I2" s="1293"/>
      <c r="J2" s="1294"/>
    </row>
    <row r="3" spans="2:18" s="6" customFormat="1" ht="18.95" customHeight="1">
      <c r="B3" s="1295" t="str">
        <f>'2-PRESENTATION DU PROJET'!B3:G3</f>
        <v>Projet de construction du marché (insérer le nom du projet)</v>
      </c>
      <c r="C3" s="1296"/>
      <c r="D3" s="1296"/>
      <c r="E3" s="1296"/>
      <c r="F3" s="1296"/>
      <c r="G3" s="1296"/>
      <c r="H3" s="1296"/>
      <c r="I3" s="1296"/>
      <c r="J3" s="1297"/>
    </row>
    <row r="4" spans="2:18" s="6" customFormat="1" ht="18.95" customHeight="1" thickBot="1">
      <c r="B4" s="1287" t="str">
        <f>'2-PRESENTATION DU PROJET'!B4:G4</f>
        <v>au profit de la commune de (insère le nom de la commune)</v>
      </c>
      <c r="C4" s="1298"/>
      <c r="D4" s="1298"/>
      <c r="E4" s="1298"/>
      <c r="F4" s="1298"/>
      <c r="G4" s="1298"/>
      <c r="H4" s="1298"/>
      <c r="I4" s="1298"/>
      <c r="J4" s="1288"/>
    </row>
    <row r="5" spans="2:18" ht="26.1" customHeight="1" thickBot="1"/>
    <row r="6" spans="2:18" ht="64.5" customHeight="1" thickBot="1">
      <c r="B6" s="1349" t="s">
        <v>518</v>
      </c>
      <c r="C6" s="1350"/>
      <c r="D6" s="1350"/>
      <c r="E6" s="1350"/>
      <c r="F6" s="1350"/>
      <c r="G6" s="1350"/>
      <c r="H6" s="1350"/>
      <c r="I6" s="1350"/>
      <c r="J6" s="1351"/>
    </row>
    <row r="7" spans="2:18" ht="26.1" customHeight="1" thickBot="1">
      <c r="B7" s="343"/>
      <c r="C7" s="343"/>
      <c r="D7" s="343"/>
      <c r="E7" s="343"/>
      <c r="F7" s="343"/>
      <c r="G7" s="343"/>
      <c r="H7" s="343"/>
    </row>
    <row r="8" spans="2:18" ht="67.5" customHeight="1" thickBot="1">
      <c r="B8" s="1347" t="s">
        <v>402</v>
      </c>
      <c r="C8" s="1348"/>
      <c r="D8" s="1348"/>
      <c r="E8" s="1348"/>
      <c r="F8" s="892" t="s">
        <v>427</v>
      </c>
      <c r="G8" s="893" t="s">
        <v>428</v>
      </c>
      <c r="H8" s="1009" t="s">
        <v>429</v>
      </c>
      <c r="I8" s="1017" t="s">
        <v>401</v>
      </c>
      <c r="J8" s="1161" t="s">
        <v>484</v>
      </c>
      <c r="K8" s="752"/>
      <c r="L8" s="752"/>
      <c r="M8" s="752"/>
      <c r="N8" s="737"/>
      <c r="O8" s="737"/>
      <c r="P8" s="1346"/>
      <c r="Q8" s="1346"/>
      <c r="R8" s="1346"/>
    </row>
    <row r="9" spans="2:18">
      <c r="B9" s="1330" t="s">
        <v>225</v>
      </c>
      <c r="C9" s="1331"/>
      <c r="D9" s="1331"/>
      <c r="E9" s="1332"/>
      <c r="F9" s="761">
        <f>'3-DONNEES DE BASE'!E73</f>
        <v>0.05</v>
      </c>
      <c r="G9" s="1352">
        <f>'7-Calcul de base AVEC   TVA'!D73</f>
        <v>0.14072439715749771</v>
      </c>
      <c r="H9" s="1012">
        <f>+F9*80%</f>
        <v>4.0000000000000008E-2</v>
      </c>
      <c r="I9" s="1155">
        <v>0.129</v>
      </c>
      <c r="J9" s="1162">
        <f>(1-(I9/$G$9))*-1</f>
        <v>-8.3314602118180314E-2</v>
      </c>
      <c r="K9" s="764"/>
      <c r="L9" s="764"/>
      <c r="M9" s="764"/>
      <c r="N9" s="755"/>
      <c r="O9" s="1159"/>
      <c r="P9" s="756"/>
      <c r="Q9" s="755"/>
      <c r="R9" s="755"/>
    </row>
    <row r="10" spans="2:18">
      <c r="B10" s="1333" t="s">
        <v>226</v>
      </c>
      <c r="C10" s="1334"/>
      <c r="D10" s="1334"/>
      <c r="E10" s="1335"/>
      <c r="F10" s="760">
        <f>'3-DONNEES DE BASE'!E69</f>
        <v>0.2</v>
      </c>
      <c r="G10" s="1353"/>
      <c r="H10" s="1013">
        <f>+F10*80%</f>
        <v>0.16000000000000003</v>
      </c>
      <c r="I10" s="1156">
        <v>0.13730000000000001</v>
      </c>
      <c r="J10" s="1163">
        <f t="shared" ref="J10:J11" si="0">(1-(I10/$G$9))*-1</f>
        <v>-2.433406876609423E-2</v>
      </c>
      <c r="K10" s="764"/>
      <c r="L10" s="764"/>
      <c r="M10" s="764"/>
      <c r="N10" s="754"/>
      <c r="O10" s="1159"/>
      <c r="P10" s="754"/>
      <c r="Q10" s="754"/>
      <c r="R10" s="754"/>
    </row>
    <row r="11" spans="2:18">
      <c r="B11" s="1336" t="s">
        <v>220</v>
      </c>
      <c r="C11" s="1337"/>
      <c r="D11" s="1337"/>
      <c r="E11" s="1338"/>
      <c r="F11" s="1130">
        <f>'3-DONNEES DE BASE'!H72</f>
        <v>130</v>
      </c>
      <c r="G11" s="1353"/>
      <c r="H11" s="1131">
        <f>+F11*80%</f>
        <v>104</v>
      </c>
      <c r="I11" s="1156">
        <v>0.1066</v>
      </c>
      <c r="J11" s="1163">
        <f t="shared" si="0"/>
        <v>-0.24249098128525604</v>
      </c>
      <c r="K11" s="765"/>
      <c r="L11" s="765"/>
      <c r="M11" s="765"/>
      <c r="N11" s="121"/>
      <c r="O11" s="1159"/>
      <c r="P11" s="121"/>
      <c r="Q11" s="121"/>
      <c r="R11" s="121"/>
    </row>
    <row r="12" spans="2:18">
      <c r="B12" s="1333" t="s">
        <v>221</v>
      </c>
      <c r="C12" s="1334"/>
      <c r="D12" s="1334"/>
      <c r="E12" s="1335"/>
      <c r="F12" s="1130"/>
      <c r="G12" s="1353"/>
      <c r="H12" s="1131"/>
      <c r="I12" s="1156"/>
      <c r="J12" s="1164"/>
      <c r="K12" s="763"/>
      <c r="L12" s="763"/>
      <c r="M12" s="763"/>
      <c r="N12" s="121"/>
      <c r="O12" s="1159"/>
      <c r="P12" s="121"/>
      <c r="Q12" s="121"/>
      <c r="R12" s="121"/>
    </row>
    <row r="13" spans="2:18" s="116" customFormat="1" ht="24" customHeight="1">
      <c r="B13" s="1160"/>
      <c r="C13" s="1339" t="s">
        <v>222</v>
      </c>
      <c r="D13" s="1339"/>
      <c r="E13" s="1340"/>
      <c r="F13" s="762">
        <f>'3-DONNEES DE BASE'!E84</f>
        <v>0.05</v>
      </c>
      <c r="G13" s="1353"/>
      <c r="H13" s="1014">
        <f>+F13*80%</f>
        <v>4.0000000000000008E-2</v>
      </c>
      <c r="I13" s="1157">
        <v>0.14119999999999999</v>
      </c>
      <c r="J13" s="1165">
        <f t="shared" ref="J13:J17" si="1">(1-(I13/$G$9))*-1</f>
        <v>3.3796758210304922E-3</v>
      </c>
      <c r="K13" s="926"/>
      <c r="L13" s="926"/>
      <c r="M13" s="926"/>
      <c r="N13" s="757"/>
      <c r="O13" s="1159"/>
      <c r="P13" s="758"/>
      <c r="Q13" s="758"/>
      <c r="R13" s="758"/>
    </row>
    <row r="14" spans="2:18" s="116" customFormat="1" ht="29.1" customHeight="1">
      <c r="B14" s="1160"/>
      <c r="C14" s="1344" t="s">
        <v>223</v>
      </c>
      <c r="D14" s="1344"/>
      <c r="E14" s="1345"/>
      <c r="F14" s="762">
        <f>'3-DONNEES DE BASE'!E85</f>
        <v>0.03</v>
      </c>
      <c r="G14" s="1353"/>
      <c r="H14" s="1015">
        <f>+F14*80%</f>
        <v>2.4E-2</v>
      </c>
      <c r="I14" s="1157">
        <v>0.1447</v>
      </c>
      <c r="J14" s="1165">
        <f t="shared" si="1"/>
        <v>2.8250985065886081E-2</v>
      </c>
      <c r="K14" s="752"/>
      <c r="L14" s="752"/>
      <c r="M14" s="752"/>
      <c r="N14" s="757"/>
      <c r="O14" s="1159"/>
      <c r="P14" s="758"/>
      <c r="Q14" s="758"/>
      <c r="R14" s="758"/>
    </row>
    <row r="15" spans="2:18" s="116" customFormat="1" ht="33" customHeight="1">
      <c r="B15" s="1160"/>
      <c r="C15" s="1344" t="s">
        <v>480</v>
      </c>
      <c r="D15" s="1344"/>
      <c r="E15" s="1345"/>
      <c r="F15" s="762">
        <f>'3-DONNEES DE BASE'!E86</f>
        <v>0.03</v>
      </c>
      <c r="G15" s="1353"/>
      <c r="H15" s="1015">
        <f>+F15*80%</f>
        <v>2.4E-2</v>
      </c>
      <c r="I15" s="1157">
        <v>0.1447</v>
      </c>
      <c r="J15" s="1165">
        <f t="shared" si="1"/>
        <v>2.8250985065886081E-2</v>
      </c>
      <c r="K15" s="752"/>
      <c r="L15" s="752"/>
      <c r="M15" s="752"/>
      <c r="N15" s="757"/>
      <c r="O15" s="1159"/>
      <c r="P15" s="758"/>
      <c r="Q15" s="766"/>
      <c r="R15" s="766"/>
    </row>
    <row r="16" spans="2:18">
      <c r="B16" s="1333" t="s">
        <v>399</v>
      </c>
      <c r="C16" s="1337"/>
      <c r="D16" s="1337"/>
      <c r="E16" s="1338"/>
      <c r="F16" s="1132">
        <f>'3-DONNEES DE BASE'!G20</f>
        <v>800000</v>
      </c>
      <c r="G16" s="1353"/>
      <c r="H16" s="1133">
        <f>+F16*80%</f>
        <v>640000</v>
      </c>
      <c r="I16" s="1157">
        <v>0.17130000000000001</v>
      </c>
      <c r="J16" s="1165">
        <f t="shared" si="1"/>
        <v>0.2172729353267886</v>
      </c>
      <c r="K16" s="765"/>
      <c r="L16" s="765"/>
      <c r="M16" s="765"/>
      <c r="N16" s="759"/>
      <c r="O16" s="1159"/>
      <c r="P16" s="40"/>
      <c r="Q16" s="40"/>
      <c r="R16" s="40"/>
    </row>
    <row r="17" spans="2:18">
      <c r="B17" s="1354" t="s">
        <v>400</v>
      </c>
      <c r="C17" s="1355"/>
      <c r="D17" s="1355"/>
      <c r="E17" s="1355"/>
      <c r="F17" s="760">
        <f>'3-DONNEES DE BASE'!E104+'3-DONNEES DE BASE'!E105+'3-DONNEES DE BASE'!E106</f>
        <v>0.2</v>
      </c>
      <c r="G17" s="1353"/>
      <c r="H17" s="1134">
        <v>0</v>
      </c>
      <c r="I17" s="1156">
        <v>0.1368</v>
      </c>
      <c r="J17" s="1165">
        <f t="shared" si="1"/>
        <v>-2.7887112943930759E-2</v>
      </c>
      <c r="K17" s="40"/>
      <c r="L17" s="40"/>
      <c r="M17" s="40"/>
      <c r="N17" s="753"/>
      <c r="O17" s="1159"/>
      <c r="P17" s="40"/>
      <c r="Q17" s="40"/>
      <c r="R17" s="40"/>
    </row>
    <row r="18" spans="2:18" s="116" customFormat="1" ht="47.1" customHeight="1">
      <c r="B18" s="1341" t="s">
        <v>410</v>
      </c>
      <c r="C18" s="1342"/>
      <c r="D18" s="1342"/>
      <c r="E18" s="1343"/>
      <c r="F18" s="1008" t="s">
        <v>427</v>
      </c>
      <c r="G18" s="1008" t="s">
        <v>428</v>
      </c>
      <c r="H18" s="1016" t="s">
        <v>460</v>
      </c>
      <c r="I18" s="1157"/>
      <c r="J18" s="1166"/>
      <c r="K18" s="115"/>
      <c r="L18" s="115"/>
      <c r="M18" s="115"/>
      <c r="N18" s="776"/>
      <c r="O18" s="766"/>
      <c r="P18" s="115"/>
      <c r="Q18" s="115"/>
      <c r="R18" s="115"/>
    </row>
    <row r="19" spans="2:18" s="116" customFormat="1" ht="39" customHeight="1" thickBot="1">
      <c r="B19" s="1328" t="s">
        <v>459</v>
      </c>
      <c r="C19" s="1329"/>
      <c r="D19" s="1329"/>
      <c r="E19" s="1329"/>
      <c r="F19" s="1135" t="s">
        <v>458</v>
      </c>
      <c r="G19" s="1136">
        <f>'7-Calcul de base AVEC   TVA'!D73</f>
        <v>0.14072439715749771</v>
      </c>
      <c r="H19" s="1137" t="s">
        <v>483</v>
      </c>
      <c r="I19" s="1158">
        <v>0.128</v>
      </c>
      <c r="J19" s="1167">
        <f>(1-(I19/$G$9))*-1</f>
        <v>-9.0420690473853371E-2</v>
      </c>
    </row>
    <row r="21" spans="2:18" ht="15">
      <c r="B21" s="1011" t="s">
        <v>482</v>
      </c>
    </row>
    <row r="22" spans="2:18" ht="15">
      <c r="B22" s="1010" t="s">
        <v>481</v>
      </c>
    </row>
    <row r="23" spans="2:18" ht="15">
      <c r="B23" s="1010" t="s">
        <v>520</v>
      </c>
      <c r="M23" s="1023"/>
    </row>
    <row r="24" spans="2:18" ht="15">
      <c r="B24" s="1010" t="s">
        <v>521</v>
      </c>
      <c r="M24" s="1023"/>
    </row>
    <row r="25" spans="2:18" ht="15">
      <c r="B25" s="1010" t="s">
        <v>522</v>
      </c>
    </row>
    <row r="26" spans="2:18" ht="15">
      <c r="B26" s="1010" t="s">
        <v>523</v>
      </c>
    </row>
  </sheetData>
  <mergeCells count="18">
    <mergeCell ref="P8:R8"/>
    <mergeCell ref="B8:E8"/>
    <mergeCell ref="B6:J6"/>
    <mergeCell ref="G9:G17"/>
    <mergeCell ref="B17:E17"/>
    <mergeCell ref="B2:J2"/>
    <mergeCell ref="B3:J3"/>
    <mergeCell ref="B4:J4"/>
    <mergeCell ref="B19:E19"/>
    <mergeCell ref="B9:E9"/>
    <mergeCell ref="B10:E10"/>
    <mergeCell ref="B11:E11"/>
    <mergeCell ref="B12:E12"/>
    <mergeCell ref="C13:E13"/>
    <mergeCell ref="B18:E18"/>
    <mergeCell ref="C14:E14"/>
    <mergeCell ref="C15:E15"/>
    <mergeCell ref="B16:E16"/>
  </mergeCells>
  <pageMargins left="0.39370078740157483" right="0.39370078740157483" top="0.74803149606299213" bottom="0.74803149606299213" header="0" footer="0"/>
  <pageSetup paperSize="9" orientation="landscape" r:id="rId1"/>
</worksheet>
</file>

<file path=xl/worksheets/sheet8.xml><?xml version="1.0" encoding="utf-8"?>
<worksheet xmlns="http://schemas.openxmlformats.org/spreadsheetml/2006/main" xmlns:r="http://schemas.openxmlformats.org/officeDocument/2006/relationships">
  <dimension ref="A1:DD335"/>
  <sheetViews>
    <sheetView topLeftCell="A30" zoomScale="90" zoomScaleNormal="90" workbookViewId="0">
      <selection activeCell="C57" sqref="C57"/>
    </sheetView>
  </sheetViews>
  <sheetFormatPr baseColWidth="10" defaultColWidth="10.625" defaultRowHeight="15"/>
  <cols>
    <col min="1" max="1" width="5.625" style="32" customWidth="1"/>
    <col min="2" max="2" width="52" style="15" customWidth="1"/>
    <col min="3" max="3" width="16.125" style="16" customWidth="1"/>
    <col min="4" max="4" width="12.125" style="46" customWidth="1"/>
    <col min="5" max="5" width="9.625" style="47" customWidth="1"/>
    <col min="6" max="6" width="11.125" style="107" customWidth="1"/>
    <col min="7" max="7" width="12.5" style="91" customWidth="1"/>
    <col min="8" max="8" width="16.625" style="303" customWidth="1"/>
    <col min="9" max="9" width="11.375" style="3" customWidth="1"/>
    <col min="10" max="10" width="12.875" style="3" customWidth="1"/>
    <col min="11" max="11" width="10" style="3" customWidth="1"/>
    <col min="12" max="12" width="13.375" style="3" customWidth="1"/>
    <col min="13" max="13" width="8.875" style="46" customWidth="1"/>
    <col min="14" max="15" width="8.875" style="3" customWidth="1"/>
    <col min="16" max="16" width="9.125" style="338" customWidth="1"/>
    <col min="17" max="17" width="10.625" style="178" customWidth="1"/>
    <col min="18" max="18" width="8.875" style="3" customWidth="1"/>
    <col min="19" max="19" width="9.375" style="3" customWidth="1"/>
    <col min="20" max="20" width="8.5" style="3" customWidth="1"/>
    <col min="21" max="21" width="8" style="3" customWidth="1"/>
    <col min="22" max="22" width="8.5" style="3" customWidth="1"/>
    <col min="23" max="23" width="8.375" style="3" customWidth="1"/>
    <col min="24" max="24" width="8.875" style="3" customWidth="1"/>
    <col min="25" max="25" width="9" style="3" customWidth="1"/>
    <col min="26" max="26" width="8.875" style="3" customWidth="1"/>
    <col min="27" max="27" width="9" style="3" customWidth="1"/>
    <col min="28" max="16384" width="10.625" style="3"/>
  </cols>
  <sheetData>
    <row r="1" spans="1:58">
      <c r="B1" s="13"/>
      <c r="C1" s="14"/>
      <c r="D1" s="1393"/>
      <c r="E1" s="1393"/>
      <c r="F1" s="1393"/>
      <c r="G1" s="1393"/>
      <c r="H1" s="1393"/>
      <c r="I1" s="1393"/>
      <c r="J1" s="1393"/>
      <c r="K1" s="1393"/>
      <c r="L1" s="1393"/>
      <c r="M1" s="1393"/>
      <c r="N1" s="1393"/>
      <c r="O1" s="1393"/>
      <c r="P1" s="1393"/>
      <c r="Q1" s="1393"/>
      <c r="R1" s="1393"/>
      <c r="S1" s="1393"/>
      <c r="T1" s="1393"/>
      <c r="U1" s="1393"/>
      <c r="V1" s="1393"/>
      <c r="W1" s="1393"/>
      <c r="X1" s="1393"/>
      <c r="Y1" s="1393"/>
      <c r="Z1" s="1393"/>
      <c r="AA1" s="1393"/>
    </row>
    <row r="2" spans="1:58">
      <c r="B2" s="13"/>
      <c r="C2" s="14"/>
      <c r="D2" s="70"/>
      <c r="E2" s="70"/>
      <c r="F2" s="45"/>
      <c r="G2" s="87"/>
      <c r="H2" s="293"/>
      <c r="I2" s="70"/>
      <c r="J2" s="70"/>
      <c r="K2" s="70"/>
      <c r="L2" s="70"/>
      <c r="M2" s="70"/>
      <c r="N2" s="70"/>
      <c r="O2" s="70"/>
      <c r="P2" s="335"/>
      <c r="Q2" s="390"/>
      <c r="R2" s="70"/>
      <c r="S2" s="70"/>
      <c r="T2" s="70"/>
      <c r="U2" s="70"/>
      <c r="V2" s="70"/>
      <c r="W2" s="70"/>
      <c r="X2" s="70"/>
      <c r="Y2" s="70"/>
      <c r="Z2" s="70"/>
      <c r="AA2" s="70"/>
    </row>
    <row r="3" spans="1:58" ht="15.75" thickBot="1">
      <c r="B3" s="13"/>
      <c r="C3" s="14"/>
      <c r="D3" s="70"/>
      <c r="E3" s="70"/>
      <c r="F3" s="45"/>
      <c r="G3" s="87"/>
      <c r="H3" s="293"/>
      <c r="I3" s="70"/>
      <c r="J3" s="70"/>
      <c r="K3" s="70"/>
      <c r="L3" s="70"/>
      <c r="M3" s="70"/>
      <c r="N3" s="70"/>
      <c r="O3" s="70"/>
      <c r="P3" s="335"/>
      <c r="Q3" s="390"/>
      <c r="R3" s="70"/>
      <c r="S3" s="70"/>
      <c r="T3" s="70"/>
      <c r="U3" s="70"/>
      <c r="V3" s="70"/>
      <c r="W3" s="70"/>
      <c r="X3" s="70"/>
      <c r="Y3" s="70"/>
      <c r="Z3" s="70"/>
      <c r="AA3" s="70"/>
    </row>
    <row r="4" spans="1:58" ht="20.45" customHeight="1">
      <c r="B4" s="1394" t="s">
        <v>95</v>
      </c>
      <c r="C4" s="1395"/>
      <c r="D4" s="729"/>
      <c r="E4" s="1405" t="s">
        <v>314</v>
      </c>
      <c r="F4" s="1406"/>
      <c r="G4" s="1407"/>
      <c r="H4" s="400" t="s">
        <v>64</v>
      </c>
      <c r="I4" s="1398" t="s">
        <v>315</v>
      </c>
      <c r="J4" s="1399"/>
      <c r="K4" s="1399"/>
      <c r="L4" s="1399"/>
      <c r="M4" s="1399"/>
      <c r="N4" s="1399"/>
      <c r="O4" s="1399"/>
      <c r="P4" s="1399"/>
      <c r="Q4" s="1400"/>
      <c r="R4" s="1398" t="s">
        <v>315</v>
      </c>
      <c r="S4" s="1399"/>
      <c r="T4" s="1399"/>
      <c r="U4" s="1399"/>
      <c r="V4" s="1399"/>
      <c r="W4" s="1399"/>
      <c r="X4" s="1399"/>
      <c r="Y4" s="1399"/>
      <c r="Z4" s="1399"/>
      <c r="AA4" s="1400"/>
    </row>
    <row r="5" spans="1:58" ht="27" customHeight="1">
      <c r="B5" s="1396"/>
      <c r="C5" s="1397"/>
      <c r="D5" s="1403" t="s">
        <v>94</v>
      </c>
      <c r="E5" s="1413">
        <v>2020</v>
      </c>
      <c r="F5" s="1414">
        <v>2021</v>
      </c>
      <c r="G5" s="1419">
        <v>2022</v>
      </c>
      <c r="H5" s="1421">
        <f>+'3-DONNEES DE BASE'!E113</f>
        <v>2023</v>
      </c>
      <c r="I5" s="1401">
        <f>+H5+1</f>
        <v>2024</v>
      </c>
      <c r="J5" s="1401">
        <f t="shared" ref="J5:Q5" si="0">+I5+1</f>
        <v>2025</v>
      </c>
      <c r="K5" s="1401">
        <f t="shared" si="0"/>
        <v>2026</v>
      </c>
      <c r="L5" s="1401">
        <f t="shared" si="0"/>
        <v>2027</v>
      </c>
      <c r="M5" s="1401">
        <f t="shared" si="0"/>
        <v>2028</v>
      </c>
      <c r="N5" s="1401">
        <f t="shared" si="0"/>
        <v>2029</v>
      </c>
      <c r="O5" s="1401">
        <f t="shared" si="0"/>
        <v>2030</v>
      </c>
      <c r="P5" s="1401">
        <f t="shared" si="0"/>
        <v>2031</v>
      </c>
      <c r="Q5" s="1411">
        <f t="shared" si="0"/>
        <v>2032</v>
      </c>
      <c r="R5" s="1401">
        <f>+Q5+1</f>
        <v>2033</v>
      </c>
      <c r="S5" s="1401">
        <f t="shared" ref="S5:AA5" si="1">+R5+1</f>
        <v>2034</v>
      </c>
      <c r="T5" s="1401">
        <f t="shared" si="1"/>
        <v>2035</v>
      </c>
      <c r="U5" s="1401">
        <f t="shared" si="1"/>
        <v>2036</v>
      </c>
      <c r="V5" s="1401">
        <f t="shared" si="1"/>
        <v>2037</v>
      </c>
      <c r="W5" s="1401">
        <f t="shared" si="1"/>
        <v>2038</v>
      </c>
      <c r="X5" s="1401">
        <f t="shared" si="1"/>
        <v>2039</v>
      </c>
      <c r="Y5" s="1401">
        <f t="shared" si="1"/>
        <v>2040</v>
      </c>
      <c r="Z5" s="1401">
        <f t="shared" si="1"/>
        <v>2041</v>
      </c>
      <c r="AA5" s="1401">
        <f t="shared" si="1"/>
        <v>2042</v>
      </c>
    </row>
    <row r="6" spans="1:58" s="123" customFormat="1" ht="17.100000000000001" customHeight="1" thickBot="1">
      <c r="A6" s="34"/>
      <c r="B6" s="1396"/>
      <c r="C6" s="1397"/>
      <c r="D6" s="1404"/>
      <c r="E6" s="1414"/>
      <c r="F6" s="1418"/>
      <c r="G6" s="1420"/>
      <c r="H6" s="1421"/>
      <c r="I6" s="1402"/>
      <c r="J6" s="1402"/>
      <c r="K6" s="1402"/>
      <c r="L6" s="1402"/>
      <c r="M6" s="1402"/>
      <c r="N6" s="1402"/>
      <c r="O6" s="1402"/>
      <c r="P6" s="1402"/>
      <c r="Q6" s="1412"/>
      <c r="R6" s="1402"/>
      <c r="S6" s="1402"/>
      <c r="T6" s="1402"/>
      <c r="U6" s="1402"/>
      <c r="V6" s="1402"/>
      <c r="W6" s="1402"/>
      <c r="X6" s="1402"/>
      <c r="Y6" s="1402"/>
      <c r="Z6" s="1402"/>
      <c r="AA6" s="1402"/>
    </row>
    <row r="7" spans="1:58" s="4" customFormat="1">
      <c r="A7" s="33"/>
      <c r="B7" s="361" t="s">
        <v>154</v>
      </c>
      <c r="C7" s="185" t="s">
        <v>128</v>
      </c>
      <c r="D7" s="163"/>
      <c r="E7" s="1415" t="s">
        <v>317</v>
      </c>
      <c r="F7" s="1416"/>
      <c r="G7" s="1417"/>
      <c r="H7" s="299"/>
      <c r="I7" s="162"/>
      <c r="J7" s="162"/>
      <c r="K7" s="162"/>
      <c r="L7" s="162"/>
      <c r="M7" s="163"/>
      <c r="N7" s="162"/>
      <c r="O7" s="162"/>
      <c r="P7" s="470"/>
      <c r="Q7" s="471"/>
      <c r="R7" s="162"/>
      <c r="S7" s="162"/>
      <c r="T7" s="162"/>
      <c r="U7" s="162"/>
      <c r="V7" s="162"/>
      <c r="W7" s="162"/>
      <c r="X7" s="162"/>
      <c r="Y7" s="164"/>
      <c r="Z7" s="164"/>
      <c r="AA7" s="16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row>
    <row r="8" spans="1:58" s="4" customFormat="1">
      <c r="A8" s="33"/>
      <c r="B8" s="12" t="str">
        <f>'3-DONNEES DE BASE'!D7</f>
        <v>Nom de la Commune 1</v>
      </c>
      <c r="C8" s="262">
        <f>+'3-DONNEES DE BASE'!H7</f>
        <v>5.0000000000000001E-3</v>
      </c>
      <c r="D8" s="68">
        <f>+'3-DONNEES DE BASE'!G7</f>
        <v>69550</v>
      </c>
      <c r="E8" s="68">
        <f>+D8*(1+$C8)</f>
        <v>69897.749999999985</v>
      </c>
      <c r="F8" s="68">
        <f t="shared" ref="F8:AA8" si="2">+E8*(1+$C8)</f>
        <v>70247.238749999975</v>
      </c>
      <c r="G8" s="68">
        <f t="shared" si="2"/>
        <v>70598.47494374997</v>
      </c>
      <c r="H8" s="68">
        <f t="shared" si="2"/>
        <v>70951.467318468713</v>
      </c>
      <c r="I8" s="68">
        <f t="shared" si="2"/>
        <v>71306.224655061043</v>
      </c>
      <c r="J8" s="68">
        <f t="shared" si="2"/>
        <v>71662.755778336345</v>
      </c>
      <c r="K8" s="68">
        <f t="shared" si="2"/>
        <v>72021.069557228024</v>
      </c>
      <c r="L8" s="68">
        <f t="shared" si="2"/>
        <v>72381.174905014152</v>
      </c>
      <c r="M8" s="68">
        <f t="shared" si="2"/>
        <v>72743.080779539217</v>
      </c>
      <c r="N8" s="68">
        <f t="shared" si="2"/>
        <v>73106.796183436905</v>
      </c>
      <c r="O8" s="68">
        <f t="shared" si="2"/>
        <v>73472.330164354076</v>
      </c>
      <c r="P8" s="68">
        <f t="shared" si="2"/>
        <v>73839.691815175844</v>
      </c>
      <c r="Q8" s="80">
        <f t="shared" si="2"/>
        <v>74208.890274251709</v>
      </c>
      <c r="R8" s="68">
        <f t="shared" si="2"/>
        <v>74579.934725622967</v>
      </c>
      <c r="S8" s="68">
        <f t="shared" si="2"/>
        <v>74952.834399251078</v>
      </c>
      <c r="T8" s="68">
        <f t="shared" si="2"/>
        <v>75327.598571247319</v>
      </c>
      <c r="U8" s="68">
        <f t="shared" si="2"/>
        <v>75704.236564103543</v>
      </c>
      <c r="V8" s="68">
        <f t="shared" si="2"/>
        <v>76082.75774692405</v>
      </c>
      <c r="W8" s="68">
        <f t="shared" si="2"/>
        <v>76463.171535658665</v>
      </c>
      <c r="X8" s="68">
        <f t="shared" si="2"/>
        <v>76845.487393336953</v>
      </c>
      <c r="Y8" s="68">
        <f t="shared" si="2"/>
        <v>77229.714830303623</v>
      </c>
      <c r="Z8" s="68">
        <f t="shared" si="2"/>
        <v>77615.863404455129</v>
      </c>
      <c r="AA8" s="472">
        <f t="shared" si="2"/>
        <v>78003.94272147739</v>
      </c>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row>
    <row r="9" spans="1:58" s="4" customFormat="1">
      <c r="A9" s="33"/>
      <c r="B9" s="12" t="str">
        <f>'3-DONNEES DE BASE'!D8</f>
        <v>Nom de la Commune 2</v>
      </c>
      <c r="C9" s="262">
        <f>+'3-DONNEES DE BASE'!H8</f>
        <v>4.0000000000000001E-3</v>
      </c>
      <c r="D9" s="68">
        <f>+'3-DONNEES DE BASE'!G8</f>
        <v>27910</v>
      </c>
      <c r="E9" s="68">
        <f>+D9*(1+C9)</f>
        <v>28021.64</v>
      </c>
      <c r="F9" s="68">
        <f>+E9*(1+C9)</f>
        <v>28133.726559999999</v>
      </c>
      <c r="G9" s="124">
        <f>+F9*(1+C9)</f>
        <v>28246.261466240001</v>
      </c>
      <c r="H9" s="80">
        <f>+G9*(1+C9)</f>
        <v>28359.246512104961</v>
      </c>
      <c r="I9" s="124">
        <f>+H9*(1+C9)</f>
        <v>28472.683498153379</v>
      </c>
      <c r="J9" s="124">
        <f>+I9*(1+C9)</f>
        <v>28586.574232145995</v>
      </c>
      <c r="K9" s="124">
        <f>+J9*(1+C9)</f>
        <v>28700.920529074578</v>
      </c>
      <c r="L9" s="124">
        <f>+K9*(1+C9)</f>
        <v>28815.724211190874</v>
      </c>
      <c r="M9" s="124">
        <f>+L9*(1+C9)</f>
        <v>28930.987108035639</v>
      </c>
      <c r="N9" s="124">
        <f>+M9*(1+C9)</f>
        <v>29046.711056467782</v>
      </c>
      <c r="O9" s="124">
        <f>+N9*(1+C9)</f>
        <v>29162.897900693653</v>
      </c>
      <c r="P9" s="124">
        <f>+O9*(1+C9)</f>
        <v>29279.549492296428</v>
      </c>
      <c r="Q9" s="80">
        <f>+P9*(1+C9)</f>
        <v>29396.667690265615</v>
      </c>
      <c r="R9" s="124">
        <f>+Q9*(1+C9)</f>
        <v>29514.254361026677</v>
      </c>
      <c r="S9" s="124">
        <f>+R9*(1+C9)</f>
        <v>29632.311378470782</v>
      </c>
      <c r="T9" s="124">
        <f>+S9*(1+C9)</f>
        <v>29750.840623984666</v>
      </c>
      <c r="U9" s="124">
        <f>+T9*(1+C9)</f>
        <v>29869.843986480606</v>
      </c>
      <c r="V9" s="124">
        <f>+U9*(1+C9)</f>
        <v>29989.323362426527</v>
      </c>
      <c r="W9" s="124">
        <f>+V9*(1+C9)</f>
        <v>30109.280655876231</v>
      </c>
      <c r="X9" s="124">
        <f>+W9*(1+C9)</f>
        <v>30229.717778499737</v>
      </c>
      <c r="Y9" s="124">
        <f>+X9*(1+C9)</f>
        <v>30350.636649613734</v>
      </c>
      <c r="Z9" s="124">
        <f>+Y9*(1+C9)</f>
        <v>30472.03919621219</v>
      </c>
      <c r="AA9" s="473">
        <f>+Z9*(1+C9)</f>
        <v>30593.927352997038</v>
      </c>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row>
    <row r="10" spans="1:58" s="4" customFormat="1">
      <c r="A10" s="33"/>
      <c r="B10" s="12" t="str">
        <f>'3-DONNEES DE BASE'!D9</f>
        <v>Nom de la Commune ...</v>
      </c>
      <c r="C10" s="262">
        <f>+'3-DONNEES DE BASE'!H9</f>
        <v>3.0000000000000001E-3</v>
      </c>
      <c r="D10" s="68">
        <f>+'3-DONNEES DE BASE'!G9</f>
        <v>6540</v>
      </c>
      <c r="E10" s="68">
        <f>+D10*(1+C10)</f>
        <v>6559.619999999999</v>
      </c>
      <c r="F10" s="68">
        <f>+E10*(1+C10)</f>
        <v>6579.2988599999981</v>
      </c>
      <c r="G10" s="124">
        <f>+F10*(1+C10)</f>
        <v>6599.036756579997</v>
      </c>
      <c r="H10" s="80">
        <f>+G10*(1+C10)</f>
        <v>6618.8338668497363</v>
      </c>
      <c r="I10" s="80">
        <f>+H10*(1+C10)</f>
        <v>6638.690368450285</v>
      </c>
      <c r="J10" s="80">
        <f>+I10*(1+C10)</f>
        <v>6658.606439555635</v>
      </c>
      <c r="K10" s="80">
        <f>+J10*(1+C10)</f>
        <v>6678.5822588743013</v>
      </c>
      <c r="L10" s="80">
        <f>+K10*(1+C10)</f>
        <v>6698.6180056509238</v>
      </c>
      <c r="M10" s="80">
        <f>+L10*(1+C10)</f>
        <v>6718.713859667876</v>
      </c>
      <c r="N10" s="80">
        <f>+M10*(1+C10)</f>
        <v>6738.8700012468789</v>
      </c>
      <c r="O10" s="80">
        <f>+N10*(1+C10)</f>
        <v>6759.0866112506192</v>
      </c>
      <c r="P10" s="80">
        <f>+O10*(1+C10)</f>
        <v>6779.3638710843707</v>
      </c>
      <c r="Q10" s="80">
        <f>+P10*(1+C10)</f>
        <v>6799.7019626976235</v>
      </c>
      <c r="R10" s="80">
        <f>+Q10*(1+C10)</f>
        <v>6820.1010685857154</v>
      </c>
      <c r="S10" s="80">
        <f>+R10*(1+C10)</f>
        <v>6840.5613717914721</v>
      </c>
      <c r="T10" s="80">
        <f>+S10*(1+C10)</f>
        <v>6861.0830559068454</v>
      </c>
      <c r="U10" s="80">
        <f>+T10*(1+C10)</f>
        <v>6881.6663050745656</v>
      </c>
      <c r="V10" s="80">
        <f>+U10*(1+C10)</f>
        <v>6902.3113039897889</v>
      </c>
      <c r="W10" s="80">
        <f>+V10*(1+C10)</f>
        <v>6923.0182379017579</v>
      </c>
      <c r="X10" s="80">
        <f>+W10*(1+C10)</f>
        <v>6943.7872926154623</v>
      </c>
      <c r="Y10" s="80">
        <f>+X10*(1+C10)</f>
        <v>6964.618654493308</v>
      </c>
      <c r="Z10" s="80">
        <f>+Y10*(1+C10)</f>
        <v>6985.5125104567869</v>
      </c>
      <c r="AA10" s="170">
        <f>+Z10*(1+C10)</f>
        <v>7006.4690479881565</v>
      </c>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row>
    <row r="11" spans="1:58" s="4" customFormat="1" ht="15.75" thickBot="1">
      <c r="A11" s="33"/>
      <c r="B11" s="12" t="s">
        <v>150</v>
      </c>
      <c r="C11" s="66"/>
      <c r="D11" s="143">
        <f>+'3-DONNEES DE BASE'!G10</f>
        <v>104000</v>
      </c>
      <c r="E11" s="143">
        <f t="shared" ref="E11:AA11" si="3">SUM(E8:E10)</f>
        <v>104479.00999999998</v>
      </c>
      <c r="F11" s="143">
        <f t="shared" si="3"/>
        <v>104960.26416999997</v>
      </c>
      <c r="G11" s="143">
        <f t="shared" si="3"/>
        <v>105443.77316656997</v>
      </c>
      <c r="H11" s="209">
        <f t="shared" si="3"/>
        <v>105929.5476974234</v>
      </c>
      <c r="I11" s="144">
        <f t="shared" si="3"/>
        <v>106417.59852166471</v>
      </c>
      <c r="J11" s="144">
        <f t="shared" si="3"/>
        <v>106907.93645003797</v>
      </c>
      <c r="K11" s="144">
        <f t="shared" si="3"/>
        <v>107400.5723451769</v>
      </c>
      <c r="L11" s="144">
        <f t="shared" si="3"/>
        <v>107895.51712185594</v>
      </c>
      <c r="M11" s="143">
        <f t="shared" si="3"/>
        <v>108392.78174724273</v>
      </c>
      <c r="N11" s="144">
        <f t="shared" si="3"/>
        <v>108892.37724115157</v>
      </c>
      <c r="O11" s="144">
        <f t="shared" si="3"/>
        <v>109394.31467629835</v>
      </c>
      <c r="P11" s="143">
        <f t="shared" si="3"/>
        <v>109898.60517855664</v>
      </c>
      <c r="Q11" s="391">
        <f t="shared" si="3"/>
        <v>110405.25992721495</v>
      </c>
      <c r="R11" s="144">
        <f t="shared" si="3"/>
        <v>110914.29015523536</v>
      </c>
      <c r="S11" s="144">
        <f t="shared" si="3"/>
        <v>111425.70714951333</v>
      </c>
      <c r="T11" s="144">
        <f t="shared" si="3"/>
        <v>111939.52225113883</v>
      </c>
      <c r="U11" s="144">
        <f t="shared" si="3"/>
        <v>112455.74685565873</v>
      </c>
      <c r="V11" s="144">
        <f t="shared" si="3"/>
        <v>112974.39241334036</v>
      </c>
      <c r="W11" s="144">
        <f t="shared" si="3"/>
        <v>113495.47042943665</v>
      </c>
      <c r="X11" s="144">
        <f t="shared" si="3"/>
        <v>114018.99246445215</v>
      </c>
      <c r="Y11" s="144">
        <f t="shared" si="3"/>
        <v>114544.97013441066</v>
      </c>
      <c r="Z11" s="144">
        <f t="shared" si="3"/>
        <v>115073.41511112411</v>
      </c>
      <c r="AA11" s="474">
        <f t="shared" si="3"/>
        <v>115604.33912246258</v>
      </c>
    </row>
    <row r="12" spans="1:58" s="4" customFormat="1">
      <c r="A12" s="33"/>
      <c r="B12" s="438" t="s">
        <v>33</v>
      </c>
      <c r="C12" s="492"/>
      <c r="D12" s="470"/>
      <c r="E12" s="470"/>
      <c r="F12" s="470"/>
      <c r="G12" s="493">
        <f>+'7-Calcul de base AVEC   TVA'!F7</f>
        <v>0</v>
      </c>
      <c r="H12" s="337"/>
      <c r="I12" s="467"/>
      <c r="J12" s="467"/>
      <c r="K12" s="467"/>
      <c r="L12" s="467"/>
      <c r="M12" s="470"/>
      <c r="N12" s="467"/>
      <c r="O12" s="467"/>
      <c r="P12" s="470"/>
      <c r="Q12" s="468"/>
      <c r="R12" s="467"/>
      <c r="S12" s="467"/>
      <c r="T12" s="467"/>
      <c r="U12" s="467"/>
      <c r="V12" s="467"/>
      <c r="W12" s="467"/>
      <c r="X12" s="467"/>
      <c r="Y12" s="467"/>
      <c r="Z12" s="467"/>
      <c r="AA12" s="469"/>
    </row>
    <row r="13" spans="1:58" s="4" customFormat="1" ht="17.25">
      <c r="A13" s="33"/>
      <c r="B13" s="167" t="s">
        <v>29</v>
      </c>
      <c r="C13" s="151"/>
      <c r="D13" s="68">
        <f>'3-DONNEES DE BASE'!K14</f>
        <v>12000</v>
      </c>
      <c r="E13" s="68"/>
      <c r="F13" s="68"/>
      <c r="G13" s="124"/>
      <c r="H13" s="82"/>
      <c r="I13" s="141"/>
      <c r="J13" s="141"/>
      <c r="K13" s="141"/>
      <c r="L13" s="141"/>
      <c r="M13" s="69"/>
      <c r="N13" s="141"/>
      <c r="O13" s="141"/>
      <c r="P13" s="69"/>
      <c r="Q13" s="228"/>
      <c r="R13" s="141"/>
      <c r="S13" s="141"/>
      <c r="T13" s="141"/>
      <c r="U13" s="141"/>
      <c r="V13" s="141"/>
      <c r="W13" s="141"/>
      <c r="X13" s="141"/>
      <c r="Y13" s="141"/>
      <c r="Z13" s="141"/>
      <c r="AA13" s="475"/>
    </row>
    <row r="14" spans="1:58" s="4" customFormat="1" ht="18" thickBot="1">
      <c r="A14" s="33"/>
      <c r="B14" s="488" t="s">
        <v>30</v>
      </c>
      <c r="C14" s="489"/>
      <c r="D14" s="490">
        <f>'3-DONNEES DE BASE'!G15</f>
        <v>15</v>
      </c>
      <c r="E14" s="490"/>
      <c r="F14" s="490"/>
      <c r="G14" s="491"/>
      <c r="H14" s="298"/>
      <c r="I14" s="146"/>
      <c r="J14" s="146"/>
      <c r="K14" s="146"/>
      <c r="L14" s="146"/>
      <c r="M14" s="145"/>
      <c r="N14" s="146"/>
      <c r="O14" s="146"/>
      <c r="P14" s="145"/>
      <c r="Q14" s="394"/>
      <c r="R14" s="146"/>
      <c r="S14" s="146"/>
      <c r="T14" s="146"/>
      <c r="U14" s="146"/>
      <c r="V14" s="146"/>
      <c r="W14" s="146"/>
      <c r="X14" s="146"/>
      <c r="Y14" s="146"/>
      <c r="Z14" s="146"/>
      <c r="AA14" s="147"/>
    </row>
    <row r="15" spans="1:58" s="4" customFormat="1">
      <c r="A15" s="33"/>
      <c r="B15" s="362" t="s">
        <v>214</v>
      </c>
      <c r="C15" s="486"/>
      <c r="D15" s="487"/>
      <c r="E15" s="1408" t="s">
        <v>80</v>
      </c>
      <c r="F15" s="1409"/>
      <c r="G15" s="1410"/>
      <c r="H15" s="295"/>
      <c r="I15" s="149"/>
      <c r="J15" s="149"/>
      <c r="K15" s="149"/>
      <c r="L15" s="149"/>
      <c r="M15" s="148"/>
      <c r="N15" s="149"/>
      <c r="O15" s="149"/>
      <c r="P15" s="148"/>
      <c r="Q15" s="392"/>
      <c r="R15" s="149"/>
      <c r="S15" s="149"/>
      <c r="T15" s="149"/>
      <c r="U15" s="149"/>
      <c r="V15" s="149"/>
      <c r="W15" s="149"/>
      <c r="X15" s="149"/>
      <c r="Y15" s="149"/>
      <c r="Z15" s="149"/>
      <c r="AA15" s="150"/>
    </row>
    <row r="16" spans="1:58" s="4" customFormat="1">
      <c r="A16" s="33"/>
      <c r="B16" s="476" t="s">
        <v>42</v>
      </c>
      <c r="C16" s="151"/>
      <c r="D16" s="68">
        <f>+'9-Cout  projet avec et sans TVA'!F9</f>
        <v>180000</v>
      </c>
      <c r="E16" s="68">
        <f>+'9-Cout  projet avec et sans TVA'!J9</f>
        <v>180000</v>
      </c>
      <c r="F16" s="68">
        <f>+'9-Cout  projet avec et sans TVA'!M9</f>
        <v>0</v>
      </c>
      <c r="G16" s="124">
        <f>+'9-Cout  projet avec et sans TVA'!P9</f>
        <v>0</v>
      </c>
      <c r="H16" s="296"/>
      <c r="I16" s="142"/>
      <c r="J16" s="142"/>
      <c r="K16" s="142"/>
      <c r="L16" s="142"/>
      <c r="M16" s="387"/>
      <c r="N16" s="142"/>
      <c r="O16" s="142"/>
      <c r="P16" s="387"/>
      <c r="Q16" s="229"/>
      <c r="R16" s="142"/>
      <c r="S16" s="142"/>
      <c r="T16" s="142"/>
      <c r="U16" s="142"/>
      <c r="V16" s="142"/>
      <c r="W16" s="142"/>
      <c r="X16" s="142"/>
      <c r="Y16" s="142"/>
      <c r="Z16" s="142"/>
      <c r="AA16" s="477"/>
    </row>
    <row r="17" spans="1:75" s="4" customFormat="1">
      <c r="A17" s="33"/>
      <c r="B17" s="476" t="s">
        <v>34</v>
      </c>
      <c r="C17" s="151"/>
      <c r="D17" s="68">
        <f>+'9-Cout  projet avec et sans TVA'!F10</f>
        <v>18000</v>
      </c>
      <c r="E17" s="68">
        <f>+'9-Cout  projet avec et sans TVA'!J10</f>
        <v>18000</v>
      </c>
      <c r="F17" s="68">
        <f>+'9-Cout  projet avec et sans TVA'!M9</f>
        <v>0</v>
      </c>
      <c r="G17" s="124">
        <f>+'9-Cout  projet avec et sans TVA'!P10</f>
        <v>0</v>
      </c>
      <c r="H17" s="296"/>
      <c r="I17" s="142"/>
      <c r="J17" s="142"/>
      <c r="K17" s="142"/>
      <c r="L17" s="142"/>
      <c r="M17" s="387"/>
      <c r="N17" s="142"/>
      <c r="O17" s="142"/>
      <c r="P17" s="387"/>
      <c r="Q17" s="229"/>
      <c r="R17" s="142"/>
      <c r="S17" s="142"/>
      <c r="T17" s="142"/>
      <c r="U17" s="142"/>
      <c r="V17" s="142"/>
      <c r="W17" s="142"/>
      <c r="X17" s="142"/>
      <c r="Y17" s="142"/>
      <c r="Z17" s="142"/>
      <c r="AA17" s="477"/>
    </row>
    <row r="18" spans="1:75" s="4" customFormat="1">
      <c r="A18" s="33"/>
      <c r="B18" s="167" t="s">
        <v>192</v>
      </c>
      <c r="C18" s="151"/>
      <c r="D18" s="80">
        <f>+'9-Cout  projet avec et sans TVA'!F11</f>
        <v>800000</v>
      </c>
      <c r="E18" s="68">
        <f>+'9-Cout  projet avec et sans TVA'!J11</f>
        <v>0</v>
      </c>
      <c r="F18" s="68">
        <f>+'9-Cout  projet avec et sans TVA'!M11</f>
        <v>640000</v>
      </c>
      <c r="G18" s="124">
        <f>+'9-Cout  projet avec et sans TVA'!P11</f>
        <v>160000</v>
      </c>
      <c r="H18" s="296"/>
      <c r="I18" s="142"/>
      <c r="J18" s="142"/>
      <c r="K18" s="142"/>
      <c r="L18" s="142"/>
      <c r="M18" s="387"/>
      <c r="N18" s="142"/>
      <c r="O18" s="142"/>
      <c r="P18" s="387"/>
      <c r="Q18" s="229"/>
      <c r="R18" s="142"/>
      <c r="S18" s="142"/>
      <c r="T18" s="142"/>
      <c r="U18" s="142"/>
      <c r="V18" s="142"/>
      <c r="W18" s="142"/>
      <c r="X18" s="142"/>
      <c r="Y18" s="142"/>
      <c r="Z18" s="142"/>
      <c r="AA18" s="477"/>
    </row>
    <row r="19" spans="1:75" s="4" customFormat="1">
      <c r="A19" s="33"/>
      <c r="B19" s="167" t="s">
        <v>193</v>
      </c>
      <c r="C19" s="151"/>
      <c r="D19" s="80">
        <f>+'9-Cout  projet avec et sans TVA'!F12</f>
        <v>62400</v>
      </c>
      <c r="E19" s="68">
        <f>+'9-Cout  projet avec et sans TVA'!J12</f>
        <v>0</v>
      </c>
      <c r="F19" s="68">
        <f>+D19*'3-DONNEES DE BASE'!E55</f>
        <v>49920</v>
      </c>
      <c r="G19" s="124">
        <f>+D19*'3-DONNEES DE BASE'!E56</f>
        <v>12480</v>
      </c>
      <c r="H19" s="296"/>
      <c r="I19" s="142"/>
      <c r="J19" s="142"/>
      <c r="K19" s="142"/>
      <c r="L19" s="142"/>
      <c r="M19" s="387"/>
      <c r="N19" s="142"/>
      <c r="O19" s="142"/>
      <c r="P19" s="387"/>
      <c r="Q19" s="229"/>
      <c r="R19" s="142"/>
      <c r="S19" s="142"/>
      <c r="T19" s="142"/>
      <c r="U19" s="142"/>
      <c r="V19" s="142"/>
      <c r="W19" s="142"/>
      <c r="X19" s="142"/>
      <c r="Y19" s="142"/>
      <c r="Z19" s="142"/>
      <c r="AA19" s="477"/>
    </row>
    <row r="20" spans="1:75" s="315" customFormat="1" ht="30">
      <c r="A20" s="34"/>
      <c r="B20" s="423" t="s">
        <v>209</v>
      </c>
      <c r="C20" s="279"/>
      <c r="D20" s="81">
        <f>+'3-DONNEES DE BASE'!E22*'3-DONNEES DE BASE'!G20</f>
        <v>42400</v>
      </c>
      <c r="E20" s="41">
        <f>+'9-Cout  projet avec et sans TVA'!J13</f>
        <v>0</v>
      </c>
      <c r="F20" s="41">
        <f>+'9-Cout  projet avec et sans TVA'!M13</f>
        <v>16960</v>
      </c>
      <c r="G20" s="126">
        <f>+'9-Cout  projet avec et sans TVA'!P13</f>
        <v>25440</v>
      </c>
      <c r="H20" s="296"/>
      <c r="I20" s="142"/>
      <c r="J20" s="142"/>
      <c r="K20" s="142"/>
      <c r="L20" s="142"/>
      <c r="M20" s="387"/>
      <c r="N20" s="142"/>
      <c r="O20" s="142"/>
      <c r="P20" s="387"/>
      <c r="Q20" s="229"/>
      <c r="R20" s="142"/>
      <c r="S20" s="142"/>
      <c r="T20" s="142"/>
      <c r="U20" s="142"/>
      <c r="V20" s="142"/>
      <c r="W20" s="142"/>
      <c r="X20" s="142"/>
      <c r="Y20" s="142"/>
      <c r="Z20" s="142"/>
      <c r="AA20" s="477"/>
    </row>
    <row r="21" spans="1:75" s="4" customFormat="1" ht="30">
      <c r="A21" s="33"/>
      <c r="B21" s="478" t="s">
        <v>316</v>
      </c>
      <c r="C21" s="151"/>
      <c r="D21" s="41">
        <f>+'9-Cout  projet avec et sans TVA'!F14</f>
        <v>85865.52</v>
      </c>
      <c r="E21" s="81">
        <f>+'9-Cout  projet avec et sans TVA'!J14</f>
        <v>85865.52</v>
      </c>
      <c r="F21" s="41">
        <f>+'9-Cout  projet avec et sans TVA'!M14</f>
        <v>0</v>
      </c>
      <c r="G21" s="126">
        <f>+'9-Cout  projet avec et sans TVA'!P14</f>
        <v>0</v>
      </c>
      <c r="H21" s="296"/>
      <c r="I21" s="142"/>
      <c r="J21" s="142"/>
      <c r="K21" s="142"/>
      <c r="L21" s="142"/>
      <c r="M21" s="387"/>
      <c r="N21" s="142"/>
      <c r="O21" s="142"/>
      <c r="P21" s="387"/>
      <c r="Q21" s="229"/>
      <c r="R21" s="142"/>
      <c r="S21" s="142"/>
      <c r="T21" s="142"/>
      <c r="U21" s="142"/>
      <c r="V21" s="142"/>
      <c r="W21" s="142"/>
      <c r="X21" s="142"/>
      <c r="Y21" s="142"/>
      <c r="Z21" s="142"/>
      <c r="AA21" s="477"/>
    </row>
    <row r="22" spans="1:75" s="4" customFormat="1">
      <c r="A22" s="33"/>
      <c r="B22" s="479" t="s">
        <v>74</v>
      </c>
      <c r="C22" s="265"/>
      <c r="D22" s="68">
        <f>+'9-Cout  projet avec et sans TVA'!F15</f>
        <v>44579.948400000001</v>
      </c>
      <c r="E22" s="68">
        <f>+'9-Cout  projet avec et sans TVA'!J15</f>
        <v>13373.98452</v>
      </c>
      <c r="F22" s="68">
        <f>+'9-Cout  projet avec et sans TVA'!M15</f>
        <v>26747.96904</v>
      </c>
      <c r="G22" s="124">
        <f>+'9-Cout  projet avec et sans TVA'!P15</f>
        <v>4457.9948400000003</v>
      </c>
      <c r="H22" s="296"/>
      <c r="I22" s="142"/>
      <c r="J22" s="142"/>
      <c r="K22" s="142"/>
      <c r="L22" s="142"/>
      <c r="M22" s="387"/>
      <c r="N22" s="142"/>
      <c r="O22" s="142"/>
      <c r="P22" s="387"/>
      <c r="Q22" s="229"/>
      <c r="R22" s="142"/>
      <c r="S22" s="142"/>
      <c r="T22" s="142"/>
      <c r="U22" s="142"/>
      <c r="V22" s="142"/>
      <c r="W22" s="142"/>
      <c r="X22" s="142"/>
      <c r="Y22" s="142"/>
      <c r="Z22" s="142"/>
      <c r="AA22" s="475"/>
    </row>
    <row r="23" spans="1:75" s="4" customFormat="1">
      <c r="A23" s="33"/>
      <c r="B23" s="777" t="s">
        <v>215</v>
      </c>
      <c r="C23" s="252"/>
      <c r="D23" s="82">
        <f>+SUM(D16:D22)</f>
        <v>1233245.4684000001</v>
      </c>
      <c r="E23" s="82">
        <f>+SUM(E16:E22)</f>
        <v>297239.50452000002</v>
      </c>
      <c r="F23" s="82">
        <f>+SUM(F16:F22)</f>
        <v>733627.96904</v>
      </c>
      <c r="G23" s="125">
        <f>+SUM(G16:G22)</f>
        <v>202377.99484</v>
      </c>
      <c r="H23" s="296"/>
      <c r="I23" s="125"/>
      <c r="J23" s="125"/>
      <c r="K23" s="125"/>
      <c r="L23" s="125"/>
      <c r="M23" s="125"/>
      <c r="N23" s="125"/>
      <c r="O23" s="125"/>
      <c r="P23" s="125"/>
      <c r="Q23" s="82"/>
      <c r="R23" s="125"/>
      <c r="S23" s="125"/>
      <c r="T23" s="125"/>
      <c r="U23" s="125"/>
      <c r="V23" s="125"/>
      <c r="W23" s="125"/>
      <c r="X23" s="125"/>
      <c r="Y23" s="125"/>
      <c r="Z23" s="125"/>
      <c r="AA23" s="480"/>
    </row>
    <row r="24" spans="1:75" s="4" customFormat="1">
      <c r="A24" s="33"/>
      <c r="B24" s="167" t="s">
        <v>71</v>
      </c>
      <c r="C24" s="151"/>
      <c r="D24" s="68">
        <f>+E24+F24+G24</f>
        <v>77240</v>
      </c>
      <c r="E24" s="68">
        <f>+'9-Cout  projet avec et sans TVA'!J33</f>
        <v>0</v>
      </c>
      <c r="F24" s="68">
        <f>+'9-Cout  projet avec et sans TVA'!K33</f>
        <v>60944</v>
      </c>
      <c r="G24" s="124">
        <f>+'9-Cout  projet avec et sans TVA'!L33</f>
        <v>16296</v>
      </c>
      <c r="H24" s="296"/>
      <c r="I24" s="142"/>
      <c r="J24" s="142"/>
      <c r="K24" s="142"/>
      <c r="L24" s="142"/>
      <c r="M24" s="387"/>
      <c r="N24" s="142"/>
      <c r="O24" s="142"/>
      <c r="P24" s="387"/>
      <c r="Q24" s="229"/>
      <c r="R24" s="142"/>
      <c r="S24" s="142"/>
      <c r="T24" s="142"/>
      <c r="U24" s="142"/>
      <c r="V24" s="142"/>
      <c r="W24" s="142"/>
      <c r="X24" s="142"/>
      <c r="Y24" s="142"/>
      <c r="Z24" s="142"/>
      <c r="AA24" s="477"/>
    </row>
    <row r="25" spans="1:75" s="4" customFormat="1">
      <c r="A25" s="33"/>
      <c r="B25" s="167" t="s">
        <v>89</v>
      </c>
      <c r="C25" s="151"/>
      <c r="D25" s="68">
        <f>+E25+F25+G25</f>
        <v>235960.55698998275</v>
      </c>
      <c r="E25" s="68">
        <f>+'9-Cout  projet avec et sans TVA'!M33</f>
        <v>36724.238022950507</v>
      </c>
      <c r="F25" s="68">
        <f>+'9-Cout  projet avec et sans TVA'!N33</f>
        <v>145485.49425736457</v>
      </c>
      <c r="G25" s="124">
        <f>+'9-Cout  projet avec et sans TVA'!O33</f>
        <v>53750.824709667679</v>
      </c>
      <c r="H25" s="296"/>
      <c r="I25" s="142"/>
      <c r="J25" s="142"/>
      <c r="K25" s="142"/>
      <c r="L25" s="142"/>
      <c r="M25" s="387"/>
      <c r="N25" s="142"/>
      <c r="O25" s="142"/>
      <c r="P25" s="387"/>
      <c r="Q25" s="229"/>
      <c r="R25" s="142"/>
      <c r="S25" s="142"/>
      <c r="T25" s="142"/>
      <c r="U25" s="142"/>
      <c r="V25" s="142"/>
      <c r="W25" s="142"/>
      <c r="X25" s="142"/>
      <c r="Y25" s="142"/>
      <c r="Z25" s="142"/>
      <c r="AA25" s="477"/>
    </row>
    <row r="26" spans="1:75" s="131" customFormat="1" ht="39.6" customHeight="1">
      <c r="A26" s="127"/>
      <c r="B26" s="778" t="s">
        <v>210</v>
      </c>
      <c r="C26" s="401"/>
      <c r="D26" s="329">
        <f>+SUM(D23:D25)</f>
        <v>1546446.0253899829</v>
      </c>
      <c r="E26" s="329">
        <f>+SUM(E23:E25)</f>
        <v>333963.74254295055</v>
      </c>
      <c r="F26" s="329">
        <f>+SUM(F23:F25)</f>
        <v>940057.46329736453</v>
      </c>
      <c r="G26" s="329">
        <f>+SUM(G23:G25)</f>
        <v>272424.81954966765</v>
      </c>
      <c r="H26" s="425"/>
      <c r="I26" s="329"/>
      <c r="J26" s="329"/>
      <c r="K26" s="329"/>
      <c r="L26" s="329"/>
      <c r="M26" s="329"/>
      <c r="N26" s="329"/>
      <c r="O26" s="329"/>
      <c r="P26" s="329"/>
      <c r="Q26" s="425"/>
      <c r="R26" s="329"/>
      <c r="S26" s="329"/>
      <c r="T26" s="329"/>
      <c r="U26" s="329"/>
      <c r="V26" s="329"/>
      <c r="W26" s="329"/>
      <c r="X26" s="329"/>
      <c r="Y26" s="329"/>
      <c r="Z26" s="329"/>
      <c r="AA26" s="481"/>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29"/>
      <c r="AY26" s="129"/>
      <c r="AZ26" s="129"/>
      <c r="BA26" s="129"/>
      <c r="BB26" s="129"/>
      <c r="BC26" s="129"/>
      <c r="BD26" s="129"/>
      <c r="BE26" s="129"/>
      <c r="BF26" s="129"/>
      <c r="BG26" s="129"/>
      <c r="BH26" s="129"/>
      <c r="BI26" s="129"/>
      <c r="BJ26" s="129"/>
      <c r="BK26" s="129"/>
      <c r="BL26" s="129"/>
      <c r="BM26" s="129"/>
      <c r="BN26" s="129"/>
      <c r="BO26" s="129"/>
      <c r="BP26" s="129"/>
      <c r="BQ26" s="129"/>
      <c r="BR26" s="129"/>
      <c r="BS26" s="129"/>
      <c r="BT26" s="129"/>
      <c r="BU26" s="129"/>
      <c r="BV26" s="129"/>
      <c r="BW26" s="129"/>
    </row>
    <row r="27" spans="1:75" s="131" customFormat="1" ht="48" customHeight="1">
      <c r="A27" s="127"/>
      <c r="B27" s="444" t="s">
        <v>212</v>
      </c>
      <c r="C27" s="330"/>
      <c r="D27" s="387">
        <f>+SUM(E27:AA27)</f>
        <v>83860.382071073196</v>
      </c>
      <c r="E27" s="332">
        <v>0</v>
      </c>
      <c r="F27" s="332">
        <v>0</v>
      </c>
      <c r="G27" s="332">
        <v>0</v>
      </c>
      <c r="H27" s="333">
        <v>0</v>
      </c>
      <c r="I27" s="387">
        <v>0</v>
      </c>
      <c r="J27" s="387">
        <v>0</v>
      </c>
      <c r="K27" s="387">
        <v>0</v>
      </c>
      <c r="L27" s="387">
        <v>0</v>
      </c>
      <c r="M27" s="387">
        <v>0</v>
      </c>
      <c r="N27" s="387">
        <v>0</v>
      </c>
      <c r="O27" s="387">
        <v>0</v>
      </c>
      <c r="P27" s="387">
        <v>0</v>
      </c>
      <c r="Q27" s="296">
        <f>+'3-DONNEES DE BASE'!G20*'3-DONNEES DE BASE'!E21*(1+'3-DONNEES DE BASE'!E33)^10</f>
        <v>83860.382071073196</v>
      </c>
      <c r="R27" s="387">
        <v>0</v>
      </c>
      <c r="S27" s="387">
        <v>0</v>
      </c>
      <c r="T27" s="387">
        <v>0</v>
      </c>
      <c r="U27" s="387">
        <v>0</v>
      </c>
      <c r="V27" s="387">
        <v>0</v>
      </c>
      <c r="W27" s="387">
        <v>0</v>
      </c>
      <c r="X27" s="387">
        <v>0</v>
      </c>
      <c r="Y27" s="387">
        <v>0</v>
      </c>
      <c r="Z27" s="387">
        <v>0</v>
      </c>
      <c r="AA27" s="482">
        <v>0</v>
      </c>
      <c r="AB27" s="129"/>
      <c r="AC27" s="129"/>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29"/>
      <c r="BG27" s="129"/>
      <c r="BH27" s="129"/>
      <c r="BI27" s="129"/>
      <c r="BJ27" s="129"/>
      <c r="BK27" s="129"/>
      <c r="BL27" s="129"/>
      <c r="BM27" s="129"/>
      <c r="BN27" s="129"/>
      <c r="BO27" s="129"/>
      <c r="BP27" s="129"/>
      <c r="BQ27" s="129"/>
      <c r="BR27" s="129"/>
      <c r="BS27" s="129"/>
      <c r="BT27" s="129"/>
      <c r="BU27" s="129"/>
      <c r="BV27" s="129"/>
      <c r="BW27" s="129"/>
    </row>
    <row r="28" spans="1:75" s="327" customFormat="1" ht="43.5" customHeight="1">
      <c r="A28" s="34"/>
      <c r="B28" s="444" t="s">
        <v>213</v>
      </c>
      <c r="C28" s="330"/>
      <c r="D28" s="331">
        <f>+SUM(E28:AA28)</f>
        <v>172193.09369838316</v>
      </c>
      <c r="E28" s="325">
        <v>0</v>
      </c>
      <c r="F28" s="325">
        <v>0</v>
      </c>
      <c r="G28" s="334">
        <v>0</v>
      </c>
      <c r="H28" s="296">
        <v>0</v>
      </c>
      <c r="I28" s="142">
        <v>0</v>
      </c>
      <c r="J28" s="142">
        <v>0</v>
      </c>
      <c r="K28" s="142">
        <v>0</v>
      </c>
      <c r="L28" s="142">
        <f>+'3-DONNEES DE BASE'!G20*'3-DONNEES DE BASE'!E22*(1+'3-DONNEES DE BASE'!E33)^5</f>
        <v>49153.220750319997</v>
      </c>
      <c r="M28" s="387">
        <v>0</v>
      </c>
      <c r="N28" s="142">
        <v>0</v>
      </c>
      <c r="O28" s="142">
        <v>0</v>
      </c>
      <c r="P28" s="387">
        <v>0</v>
      </c>
      <c r="Q28" s="229">
        <f>+'3-DONNEES DE BASE'!G20*'3-DONNEES DE BASE'!E22*(1+'3-DONNEES DE BASE'!E33)^10</f>
        <v>56982.054484190761</v>
      </c>
      <c r="R28" s="142">
        <v>0</v>
      </c>
      <c r="S28" s="142">
        <v>0</v>
      </c>
      <c r="T28" s="142">
        <v>0</v>
      </c>
      <c r="U28" s="142">
        <v>0</v>
      </c>
      <c r="V28" s="142">
        <f>+'3-DONNEES DE BASE'!G20*'3-DONNEES DE BASE'!E22*(1+'3-DONNEES DE BASE'!E33)^15</f>
        <v>66057.818463872405</v>
      </c>
      <c r="W28" s="142">
        <v>0</v>
      </c>
      <c r="X28" s="142">
        <v>0</v>
      </c>
      <c r="Y28" s="142">
        <v>0</v>
      </c>
      <c r="Z28" s="142">
        <v>0</v>
      </c>
      <c r="AA28" s="477">
        <v>0</v>
      </c>
    </row>
    <row r="29" spans="1:75" s="327" customFormat="1" ht="30.75" thickBot="1">
      <c r="A29" s="34"/>
      <c r="B29" s="445" t="s">
        <v>211</v>
      </c>
      <c r="C29" s="483"/>
      <c r="D29" s="484">
        <f t="shared" ref="D29:AA29" si="4">+SUM(D26:D28)</f>
        <v>1802499.5011594391</v>
      </c>
      <c r="E29" s="484">
        <f t="shared" si="4"/>
        <v>333963.74254295055</v>
      </c>
      <c r="F29" s="484">
        <f t="shared" si="4"/>
        <v>940057.46329736453</v>
      </c>
      <c r="G29" s="484">
        <f t="shared" si="4"/>
        <v>272424.81954966765</v>
      </c>
      <c r="H29" s="484">
        <f t="shared" si="4"/>
        <v>0</v>
      </c>
      <c r="I29" s="484">
        <f t="shared" si="4"/>
        <v>0</v>
      </c>
      <c r="J29" s="484">
        <f t="shared" si="4"/>
        <v>0</v>
      </c>
      <c r="K29" s="484">
        <f t="shared" si="4"/>
        <v>0</v>
      </c>
      <c r="L29" s="484">
        <f t="shared" si="4"/>
        <v>49153.220750319997</v>
      </c>
      <c r="M29" s="484">
        <f t="shared" si="4"/>
        <v>0</v>
      </c>
      <c r="N29" s="484">
        <f t="shared" si="4"/>
        <v>0</v>
      </c>
      <c r="O29" s="484">
        <f t="shared" si="4"/>
        <v>0</v>
      </c>
      <c r="P29" s="484">
        <f t="shared" si="4"/>
        <v>0</v>
      </c>
      <c r="Q29" s="371">
        <f t="shared" si="4"/>
        <v>140842.43655526396</v>
      </c>
      <c r="R29" s="484">
        <f t="shared" si="4"/>
        <v>0</v>
      </c>
      <c r="S29" s="484">
        <f t="shared" si="4"/>
        <v>0</v>
      </c>
      <c r="T29" s="484">
        <f t="shared" si="4"/>
        <v>0</v>
      </c>
      <c r="U29" s="484">
        <f t="shared" si="4"/>
        <v>0</v>
      </c>
      <c r="V29" s="484">
        <f t="shared" si="4"/>
        <v>66057.818463872405</v>
      </c>
      <c r="W29" s="484">
        <f t="shared" si="4"/>
        <v>0</v>
      </c>
      <c r="X29" s="484">
        <f t="shared" si="4"/>
        <v>0</v>
      </c>
      <c r="Y29" s="484">
        <f t="shared" si="4"/>
        <v>0</v>
      </c>
      <c r="Z29" s="484">
        <f t="shared" si="4"/>
        <v>0</v>
      </c>
      <c r="AA29" s="485">
        <f t="shared" si="4"/>
        <v>0</v>
      </c>
    </row>
    <row r="30" spans="1:75" s="327" customFormat="1" ht="19.5" thickBot="1">
      <c r="A30" s="34"/>
      <c r="B30" s="781" t="s">
        <v>414</v>
      </c>
      <c r="C30" s="779"/>
      <c r="D30" s="332"/>
      <c r="E30" s="332"/>
      <c r="F30" s="332"/>
      <c r="G30" s="332"/>
      <c r="H30" s="332"/>
      <c r="I30" s="332"/>
      <c r="J30" s="332"/>
      <c r="K30" s="332"/>
      <c r="L30" s="332"/>
      <c r="M30" s="332"/>
      <c r="N30" s="332"/>
      <c r="O30" s="332"/>
      <c r="P30" s="332"/>
      <c r="Q30" s="333"/>
      <c r="R30" s="332"/>
      <c r="S30" s="332"/>
      <c r="T30" s="332"/>
      <c r="U30" s="332"/>
      <c r="V30" s="332"/>
      <c r="W30" s="332"/>
      <c r="X30" s="332"/>
      <c r="Y30" s="332"/>
      <c r="Z30" s="332"/>
      <c r="AA30" s="780"/>
    </row>
    <row r="31" spans="1:75" s="4" customFormat="1">
      <c r="A31" s="33"/>
      <c r="B31" s="782" t="s">
        <v>415</v>
      </c>
      <c r="C31" s="449" t="s">
        <v>130</v>
      </c>
      <c r="D31" s="449" t="s">
        <v>144</v>
      </c>
      <c r="E31" s="466"/>
      <c r="F31" s="466"/>
      <c r="G31" s="466"/>
      <c r="H31" s="337"/>
      <c r="I31" s="467"/>
      <c r="J31" s="467"/>
      <c r="K31" s="467"/>
      <c r="L31" s="467"/>
      <c r="M31" s="467"/>
      <c r="N31" s="467"/>
      <c r="O31" s="467"/>
      <c r="P31" s="467"/>
      <c r="Q31" s="468"/>
      <c r="R31" s="467"/>
      <c r="S31" s="467"/>
      <c r="T31" s="467"/>
      <c r="U31" s="467"/>
      <c r="V31" s="467"/>
      <c r="W31" s="467"/>
      <c r="X31" s="467"/>
      <c r="Y31" s="467"/>
      <c r="Z31" s="467"/>
      <c r="AA31" s="469"/>
    </row>
    <row r="32" spans="1:75" s="129" customFormat="1">
      <c r="A32" s="127"/>
      <c r="B32" s="169" t="s">
        <v>318</v>
      </c>
      <c r="C32" s="187">
        <f>+'3-DONNEES DE BASE'!E69</f>
        <v>0.2</v>
      </c>
      <c r="D32" s="69"/>
      <c r="E32" s="69"/>
      <c r="F32" s="69"/>
      <c r="G32" s="89"/>
      <c r="H32" s="297">
        <f>+'3-DONNEES DE BASE'!G68</f>
        <v>100</v>
      </c>
      <c r="I32" s="49">
        <f>IF('7-Calcul de base AVEC   TVA'!H32+'7-Calcul de base AVEC   TVA'!H32*'3-DONNEES DE BASE'!$E$69&lt;'3-DONNEES DE BASE'!$G$70,('7-Calcul de base AVEC   TVA'!H32+'7-Calcul de base AVEC   TVA'!H32*'3-DONNEES DE BASE'!$E$69),'3-DONNEES DE BASE'!$G$70)</f>
        <v>120</v>
      </c>
      <c r="J32" s="49">
        <f>IF('7-Calcul de base AVEC   TVA'!I32+'7-Calcul de base AVEC   TVA'!I32*'3-DONNEES DE BASE'!$E$69&lt;'3-DONNEES DE BASE'!$G$70,('7-Calcul de base AVEC   TVA'!I32+'7-Calcul de base AVEC   TVA'!I32*'3-DONNEES DE BASE'!$E$69),'3-DONNEES DE BASE'!$G$70)</f>
        <v>144</v>
      </c>
      <c r="K32" s="49">
        <f>IF('7-Calcul de base AVEC   TVA'!J32+'7-Calcul de base AVEC   TVA'!J32*'3-DONNEES DE BASE'!$E$69&lt;'3-DONNEES DE BASE'!$G$70,('7-Calcul de base AVEC   TVA'!J32+'7-Calcul de base AVEC   TVA'!J32*'3-DONNEES DE BASE'!$E$69),'3-DONNEES DE BASE'!$G$70)</f>
        <v>172.8</v>
      </c>
      <c r="L32" s="49">
        <f>IF('7-Calcul de base AVEC   TVA'!K32+'7-Calcul de base AVEC   TVA'!K32*'3-DONNEES DE BASE'!$E$69&lt;'3-DONNEES DE BASE'!$G$70,('7-Calcul de base AVEC   TVA'!K32+'7-Calcul de base AVEC   TVA'!K32*'3-DONNEES DE BASE'!$E$69),'3-DONNEES DE BASE'!$G$70)</f>
        <v>200</v>
      </c>
      <c r="M32" s="49">
        <f>IF('7-Calcul de base AVEC   TVA'!L32+'7-Calcul de base AVEC   TVA'!L32*'3-DONNEES DE BASE'!$E$69&lt;'3-DONNEES DE BASE'!$G$70,('7-Calcul de base AVEC   TVA'!L32+'7-Calcul de base AVEC   TVA'!L32*'3-DONNEES DE BASE'!$E$69),'3-DONNEES DE BASE'!$G$70)</f>
        <v>200</v>
      </c>
      <c r="N32" s="49">
        <f>IF('7-Calcul de base AVEC   TVA'!M32+'7-Calcul de base AVEC   TVA'!M32*'3-DONNEES DE BASE'!$E$69&lt;'3-DONNEES DE BASE'!$G$70,('7-Calcul de base AVEC   TVA'!M32+'7-Calcul de base AVEC   TVA'!M32*'3-DONNEES DE BASE'!$E$69),'3-DONNEES DE BASE'!$G$70)</f>
        <v>200</v>
      </c>
      <c r="O32" s="49">
        <f>IF('7-Calcul de base AVEC   TVA'!N32+'7-Calcul de base AVEC   TVA'!N32*'3-DONNEES DE BASE'!$E$69&lt;'3-DONNEES DE BASE'!$G$70,('7-Calcul de base AVEC   TVA'!N32+'7-Calcul de base AVEC   TVA'!N32*'3-DONNEES DE BASE'!$E$69),'3-DONNEES DE BASE'!$G$70)</f>
        <v>200</v>
      </c>
      <c r="P32" s="69">
        <f>IF('7-Calcul de base AVEC   TVA'!O32+'7-Calcul de base AVEC   TVA'!O32*'3-DONNEES DE BASE'!$E$69&lt;'3-DONNEES DE BASE'!$G$70,('7-Calcul de base AVEC   TVA'!O32+'7-Calcul de base AVEC   TVA'!O32*'3-DONNEES DE BASE'!$E$69),'3-DONNEES DE BASE'!$G$70)</f>
        <v>200</v>
      </c>
      <c r="Q32" s="297">
        <f>IF('7-Calcul de base AVEC   TVA'!P32+'7-Calcul de base AVEC   TVA'!P32*'3-DONNEES DE BASE'!$E$69&lt;'3-DONNEES DE BASE'!$G$70,('7-Calcul de base AVEC   TVA'!P32+'7-Calcul de base AVEC   TVA'!P32*'3-DONNEES DE BASE'!$E$69),'3-DONNEES DE BASE'!$G$70)</f>
        <v>200</v>
      </c>
      <c r="R32" s="49">
        <f>IF('7-Calcul de base AVEC   TVA'!Q32+'7-Calcul de base AVEC   TVA'!Q32*'3-DONNEES DE BASE'!$E$69&lt;'3-DONNEES DE BASE'!$G$70,('7-Calcul de base AVEC   TVA'!Q32+'7-Calcul de base AVEC   TVA'!Q32*'3-DONNEES DE BASE'!$E$69),'3-DONNEES DE BASE'!$G$70)</f>
        <v>200</v>
      </c>
      <c r="S32" s="49">
        <f>IF('7-Calcul de base AVEC   TVA'!R32+'7-Calcul de base AVEC   TVA'!R32*'3-DONNEES DE BASE'!$E$69&lt;'3-DONNEES DE BASE'!$G$70,('7-Calcul de base AVEC   TVA'!R32+'7-Calcul de base AVEC   TVA'!R32*'3-DONNEES DE BASE'!$E$69),'3-DONNEES DE BASE'!$G$70)</f>
        <v>200</v>
      </c>
      <c r="T32" s="49">
        <f>IF('7-Calcul de base AVEC   TVA'!S32+'7-Calcul de base AVEC   TVA'!S32*'3-DONNEES DE BASE'!$E$69&lt;'3-DONNEES DE BASE'!$G$70,('7-Calcul de base AVEC   TVA'!S32+'7-Calcul de base AVEC   TVA'!S32*'3-DONNEES DE BASE'!$E$69),'3-DONNEES DE BASE'!$G$70)</f>
        <v>200</v>
      </c>
      <c r="U32" s="49">
        <f>IF('7-Calcul de base AVEC   TVA'!T32+'7-Calcul de base AVEC   TVA'!T32*'3-DONNEES DE BASE'!$E$69&lt;'3-DONNEES DE BASE'!$G$70,('7-Calcul de base AVEC   TVA'!T32+'7-Calcul de base AVEC   TVA'!T32*'3-DONNEES DE BASE'!$E$69),'3-DONNEES DE BASE'!$G$70)</f>
        <v>200</v>
      </c>
      <c r="V32" s="49">
        <f>IF('7-Calcul de base AVEC   TVA'!U32+'7-Calcul de base AVEC   TVA'!U32*'3-DONNEES DE BASE'!$E$69&lt;'3-DONNEES DE BASE'!$G$70,('7-Calcul de base AVEC   TVA'!U32+'7-Calcul de base AVEC   TVA'!U32*'3-DONNEES DE BASE'!$E$69),'3-DONNEES DE BASE'!$G$70)</f>
        <v>200</v>
      </c>
      <c r="W32" s="49">
        <f>IF('7-Calcul de base AVEC   TVA'!V32+'7-Calcul de base AVEC   TVA'!V32*'3-DONNEES DE BASE'!$E$69&lt;'3-DONNEES DE BASE'!$G$70,('7-Calcul de base AVEC   TVA'!V32+'7-Calcul de base AVEC   TVA'!V32*'3-DONNEES DE BASE'!$E$69),'3-DONNEES DE BASE'!$G$70)</f>
        <v>200</v>
      </c>
      <c r="X32" s="49">
        <f>IF('7-Calcul de base AVEC   TVA'!W32+'7-Calcul de base AVEC   TVA'!W32*'3-DONNEES DE BASE'!$E$69&lt;'3-DONNEES DE BASE'!$G$70,('7-Calcul de base AVEC   TVA'!W32+'7-Calcul de base AVEC   TVA'!W32*'3-DONNEES DE BASE'!$E$69),'3-DONNEES DE BASE'!$G$70)</f>
        <v>200</v>
      </c>
      <c r="Y32" s="49">
        <f>IF('7-Calcul de base AVEC   TVA'!X32+'7-Calcul de base AVEC   TVA'!X32*'3-DONNEES DE BASE'!$E$69&lt;'3-DONNEES DE BASE'!$G$70,('7-Calcul de base AVEC   TVA'!X32+'7-Calcul de base AVEC   TVA'!X32*'3-DONNEES DE BASE'!$E$69),'3-DONNEES DE BASE'!$G$70)</f>
        <v>200</v>
      </c>
      <c r="Z32" s="49">
        <f>IF('7-Calcul de base AVEC   TVA'!Y32+'7-Calcul de base AVEC   TVA'!Y32*'3-DONNEES DE BASE'!$E$69&lt;'3-DONNEES DE BASE'!$G$70,('7-Calcul de base AVEC   TVA'!Y32+'7-Calcul de base AVEC   TVA'!Y32*'3-DONNEES DE BASE'!$E$69),'3-DONNEES DE BASE'!$G$70)</f>
        <v>200</v>
      </c>
      <c r="AA32" s="186">
        <f>IF('7-Calcul de base AVEC   TVA'!Z32+'7-Calcul de base AVEC   TVA'!Z32*'3-DONNEES DE BASE'!$E$69&lt;'3-DONNEES DE BASE'!$G$70,('7-Calcul de base AVEC   TVA'!Z32+'7-Calcul de base AVEC   TVA'!Z32*'3-DONNEES DE BASE'!$E$69),'3-DONNEES DE BASE'!$G$70)</f>
        <v>200</v>
      </c>
    </row>
    <row r="33" spans="1:108" s="94" customFormat="1">
      <c r="B33" s="169" t="s">
        <v>319</v>
      </c>
      <c r="C33" s="188"/>
      <c r="D33" s="364">
        <f>+'3-DONNEES DE BASE'!G71</f>
        <v>1.2</v>
      </c>
      <c r="E33" s="82"/>
      <c r="F33" s="82"/>
      <c r="G33" s="82"/>
      <c r="H33" s="82">
        <f>+H32*'3-DONNEES DE BASE'!G71</f>
        <v>120</v>
      </c>
      <c r="I33" s="82">
        <f>+I32*'3-DONNEES DE BASE'!$G$71</f>
        <v>144</v>
      </c>
      <c r="J33" s="82">
        <f>+J32*'3-DONNEES DE BASE'!$G$71</f>
        <v>172.79999999999998</v>
      </c>
      <c r="K33" s="82">
        <f>+K32*'3-DONNEES DE BASE'!$G$71</f>
        <v>207.36</v>
      </c>
      <c r="L33" s="82">
        <f>+L32*'3-DONNEES DE BASE'!$G$71</f>
        <v>240</v>
      </c>
      <c r="M33" s="82">
        <f>+M32*'3-DONNEES DE BASE'!$G$71</f>
        <v>240</v>
      </c>
      <c r="N33" s="82">
        <f>+N32*'3-DONNEES DE BASE'!$G$71</f>
        <v>240</v>
      </c>
      <c r="O33" s="82">
        <f>+O32*'3-DONNEES DE BASE'!$G$71</f>
        <v>240</v>
      </c>
      <c r="P33" s="82">
        <f>+P32*'3-DONNEES DE BASE'!$G$71</f>
        <v>240</v>
      </c>
      <c r="Q33" s="82">
        <f>+Q32*'3-DONNEES DE BASE'!$G$71</f>
        <v>240</v>
      </c>
      <c r="R33" s="82">
        <f>+R32*'3-DONNEES DE BASE'!$G$71</f>
        <v>240</v>
      </c>
      <c r="S33" s="82">
        <f>+S32*'3-DONNEES DE BASE'!$G$71</f>
        <v>240</v>
      </c>
      <c r="T33" s="82">
        <f>+T32*'3-DONNEES DE BASE'!$G$71</f>
        <v>240</v>
      </c>
      <c r="U33" s="82">
        <f>+U32*'3-DONNEES DE BASE'!$G$71</f>
        <v>240</v>
      </c>
      <c r="V33" s="82">
        <f>+V32*'3-DONNEES DE BASE'!$G$71</f>
        <v>240</v>
      </c>
      <c r="W33" s="82">
        <f>+W32*'3-DONNEES DE BASE'!$G$71</f>
        <v>240</v>
      </c>
      <c r="X33" s="82">
        <f>+X32*'3-DONNEES DE BASE'!$G$71</f>
        <v>240</v>
      </c>
      <c r="Y33" s="82">
        <f>+Y32*'3-DONNEES DE BASE'!$G$71</f>
        <v>240</v>
      </c>
      <c r="Z33" s="82">
        <f>+Z32*'3-DONNEES DE BASE'!$G$71</f>
        <v>240</v>
      </c>
      <c r="AA33" s="82">
        <f>+AA32*'3-DONNEES DE BASE'!$G$71</f>
        <v>240</v>
      </c>
    </row>
    <row r="34" spans="1:108" s="4" customFormat="1">
      <c r="A34" s="33"/>
      <c r="B34" s="167" t="s">
        <v>227</v>
      </c>
      <c r="C34" s="189">
        <f>'3-DONNEES DE BASE'!E73</f>
        <v>0.05</v>
      </c>
      <c r="D34" s="49"/>
      <c r="E34" s="49"/>
      <c r="F34" s="49"/>
      <c r="G34" s="89"/>
      <c r="H34" s="297">
        <f>+'3-DONNEES DE BASE'!H72</f>
        <v>130</v>
      </c>
      <c r="I34" s="153">
        <f>+H34*(1+C34)</f>
        <v>136.5</v>
      </c>
      <c r="J34" s="153">
        <f>SUM(I34)+(I34*'3-DONNEES DE BASE'!$E$73)</f>
        <v>143.32499999999999</v>
      </c>
      <c r="K34" s="153">
        <f>SUM(J34)+(J34*'3-DONNEES DE BASE'!$E$73)</f>
        <v>150.49124999999998</v>
      </c>
      <c r="L34" s="153">
        <f>SUM(K34)+(K34*'3-DONNEES DE BASE'!$E$73)</f>
        <v>158.01581249999998</v>
      </c>
      <c r="M34" s="49">
        <f>SUM(L34)+(L34*'3-DONNEES DE BASE'!$E$73)</f>
        <v>165.91660312499999</v>
      </c>
      <c r="N34" s="153">
        <f>SUM(M34)+(M34*'3-DONNEES DE BASE'!$E$73)</f>
        <v>174.21243328124999</v>
      </c>
      <c r="O34" s="153">
        <f>SUM(N34)+(N34*'3-DONNEES DE BASE'!$E$73)</f>
        <v>182.92305494531249</v>
      </c>
      <c r="P34" s="69">
        <f>SUM(O34)+(O34*'3-DONNEES DE BASE'!$E$73)</f>
        <v>192.06920769257812</v>
      </c>
      <c r="Q34" s="393">
        <f>SUM(P34)+(P34*'3-DONNEES DE BASE'!$E$73)</f>
        <v>201.67266807720702</v>
      </c>
      <c r="R34" s="153">
        <f>SUM(Q34)+(Q34*'3-DONNEES DE BASE'!$E$73)</f>
        <v>211.75630148106737</v>
      </c>
      <c r="S34" s="153">
        <f>SUM(R34)+(R34*'3-DONNEES DE BASE'!$E$73)</f>
        <v>222.34411655512073</v>
      </c>
      <c r="T34" s="153">
        <f>SUM(S34)+(S34*'3-DONNEES DE BASE'!$E$73)</f>
        <v>233.46132238287677</v>
      </c>
      <c r="U34" s="153">
        <f>SUM(T34)+(T34*'3-DONNEES DE BASE'!$E$73)</f>
        <v>245.13438850202061</v>
      </c>
      <c r="V34" s="153">
        <f>SUM(U34)+(U34*'3-DONNEES DE BASE'!$E$73)</f>
        <v>257.39110792712165</v>
      </c>
      <c r="W34" s="153">
        <f>SUM(V34)+(V34*'3-DONNEES DE BASE'!$E$73)</f>
        <v>270.26066332347773</v>
      </c>
      <c r="X34" s="153">
        <f>SUM(W34)+(W34*'3-DONNEES DE BASE'!$E$73)</f>
        <v>283.77369648965163</v>
      </c>
      <c r="Y34" s="153">
        <f>SUM(X34)+(X34*'3-DONNEES DE BASE'!$E$73)</f>
        <v>297.96238131413423</v>
      </c>
      <c r="Z34" s="153">
        <f>SUM(Y34)+(Y34*'3-DONNEES DE BASE'!$E$73)</f>
        <v>312.86050037984097</v>
      </c>
      <c r="AA34" s="160">
        <f>SUM(Z34)+(Z34*'3-DONNEES DE BASE'!$E$73)</f>
        <v>328.50352539883301</v>
      </c>
    </row>
    <row r="35" spans="1:108" s="130" customFormat="1">
      <c r="A35" s="127"/>
      <c r="B35" s="169" t="s">
        <v>228</v>
      </c>
      <c r="C35" s="67"/>
      <c r="D35" s="69"/>
      <c r="E35" s="69"/>
      <c r="F35" s="69"/>
      <c r="G35" s="75"/>
      <c r="H35" s="82">
        <f>+H34*H32</f>
        <v>13000</v>
      </c>
      <c r="I35" s="69">
        <f>+I34*I32</f>
        <v>16380</v>
      </c>
      <c r="J35" s="69">
        <f t="shared" ref="J35:AA35" si="5">+J34*J32</f>
        <v>20638.8</v>
      </c>
      <c r="K35" s="69">
        <f t="shared" si="5"/>
        <v>26004.887999999999</v>
      </c>
      <c r="L35" s="69">
        <f t="shared" si="5"/>
        <v>31603.162499999995</v>
      </c>
      <c r="M35" s="69">
        <f t="shared" si="5"/>
        <v>33183.320625</v>
      </c>
      <c r="N35" s="69">
        <f t="shared" si="5"/>
        <v>34842.486656249996</v>
      </c>
      <c r="O35" s="69">
        <f t="shared" si="5"/>
        <v>36584.610989062494</v>
      </c>
      <c r="P35" s="69">
        <f t="shared" si="5"/>
        <v>38413.841538515626</v>
      </c>
      <c r="Q35" s="82">
        <f t="shared" si="5"/>
        <v>40334.533615441404</v>
      </c>
      <c r="R35" s="69">
        <f t="shared" si="5"/>
        <v>42351.260296213477</v>
      </c>
      <c r="S35" s="69">
        <f t="shared" si="5"/>
        <v>44468.823311024149</v>
      </c>
      <c r="T35" s="69">
        <f t="shared" si="5"/>
        <v>46692.264476575358</v>
      </c>
      <c r="U35" s="69">
        <f t="shared" si="5"/>
        <v>49026.877700404126</v>
      </c>
      <c r="V35" s="69">
        <f t="shared" si="5"/>
        <v>51478.221585424333</v>
      </c>
      <c r="W35" s="69">
        <f t="shared" si="5"/>
        <v>54052.132664695542</v>
      </c>
      <c r="X35" s="69">
        <f t="shared" si="5"/>
        <v>56754.739297930326</v>
      </c>
      <c r="Y35" s="69">
        <f t="shared" si="5"/>
        <v>59592.476262826844</v>
      </c>
      <c r="Z35" s="69">
        <f t="shared" si="5"/>
        <v>62572.100075968192</v>
      </c>
      <c r="AA35" s="137">
        <f t="shared" si="5"/>
        <v>65700.705079766602</v>
      </c>
    </row>
    <row r="36" spans="1:108" s="784" customFormat="1" ht="15.75">
      <c r="A36" s="207"/>
      <c r="B36" s="783" t="s">
        <v>416</v>
      </c>
      <c r="C36" s="75"/>
      <c r="D36" s="75"/>
      <c r="E36" s="75"/>
      <c r="F36" s="75"/>
      <c r="G36" s="75"/>
      <c r="H36" s="75">
        <f t="shared" ref="H36:AA36" si="6">SUM(H35*12)</f>
        <v>156000</v>
      </c>
      <c r="I36" s="75">
        <f t="shared" si="6"/>
        <v>196560</v>
      </c>
      <c r="J36" s="75">
        <f t="shared" si="6"/>
        <v>247665.59999999998</v>
      </c>
      <c r="K36" s="75">
        <f t="shared" si="6"/>
        <v>312058.65599999996</v>
      </c>
      <c r="L36" s="75">
        <f t="shared" si="6"/>
        <v>379237.94999999995</v>
      </c>
      <c r="M36" s="75">
        <f t="shared" si="6"/>
        <v>398199.84750000003</v>
      </c>
      <c r="N36" s="75">
        <f t="shared" si="6"/>
        <v>418109.83987499995</v>
      </c>
      <c r="O36" s="75">
        <f t="shared" si="6"/>
        <v>439015.33186874993</v>
      </c>
      <c r="P36" s="75">
        <f t="shared" si="6"/>
        <v>460966.09846218751</v>
      </c>
      <c r="Q36" s="75">
        <f t="shared" si="6"/>
        <v>484014.40338529681</v>
      </c>
      <c r="R36" s="75">
        <f t="shared" si="6"/>
        <v>508215.12355456175</v>
      </c>
      <c r="S36" s="75">
        <f t="shared" si="6"/>
        <v>533625.87973228982</v>
      </c>
      <c r="T36" s="75">
        <f t="shared" si="6"/>
        <v>560307.17371890426</v>
      </c>
      <c r="U36" s="75">
        <f t="shared" si="6"/>
        <v>588322.53240484954</v>
      </c>
      <c r="V36" s="75">
        <f t="shared" si="6"/>
        <v>617738.65902509203</v>
      </c>
      <c r="W36" s="75">
        <f t="shared" si="6"/>
        <v>648625.59197634645</v>
      </c>
      <c r="X36" s="75">
        <f t="shared" si="6"/>
        <v>681056.87157516391</v>
      </c>
      <c r="Y36" s="75">
        <f t="shared" si="6"/>
        <v>715109.71515392209</v>
      </c>
      <c r="Z36" s="75">
        <f t="shared" si="6"/>
        <v>750865.2009116183</v>
      </c>
      <c r="AA36" s="496">
        <f t="shared" si="6"/>
        <v>788408.46095719922</v>
      </c>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7"/>
      <c r="BR36" s="207"/>
      <c r="BS36" s="207"/>
      <c r="BT36" s="207"/>
      <c r="BU36" s="207"/>
      <c r="BV36" s="207"/>
      <c r="BW36" s="207"/>
      <c r="BX36" s="207"/>
      <c r="BY36" s="207"/>
      <c r="BZ36" s="207"/>
      <c r="CA36" s="207"/>
      <c r="CB36" s="207"/>
      <c r="CC36" s="207"/>
      <c r="CD36" s="207"/>
      <c r="CE36" s="207"/>
      <c r="CF36" s="207"/>
      <c r="CG36" s="207"/>
      <c r="CH36" s="207"/>
      <c r="CI36" s="207"/>
      <c r="CJ36" s="207"/>
      <c r="CK36" s="207"/>
      <c r="CL36" s="207"/>
      <c r="CM36" s="207"/>
      <c r="CN36" s="207"/>
      <c r="CO36" s="207"/>
      <c r="CP36" s="207"/>
      <c r="CQ36" s="207"/>
      <c r="CR36" s="207"/>
      <c r="CS36" s="207"/>
      <c r="CT36" s="207"/>
      <c r="CU36" s="207"/>
      <c r="CV36" s="207"/>
      <c r="CW36" s="207"/>
      <c r="CX36" s="207"/>
      <c r="CY36" s="207"/>
      <c r="CZ36" s="207"/>
      <c r="DA36" s="207"/>
      <c r="DB36" s="207"/>
      <c r="DC36" s="207"/>
      <c r="DD36" s="207"/>
    </row>
    <row r="37" spans="1:108" s="4" customFormat="1" ht="15.75" thickBot="1">
      <c r="A37" s="33"/>
      <c r="B37" s="1360" t="s">
        <v>229</v>
      </c>
      <c r="C37" s="1361"/>
      <c r="D37" s="145"/>
      <c r="E37" s="145"/>
      <c r="F37" s="145"/>
      <c r="G37" s="161"/>
      <c r="H37" s="298"/>
      <c r="I37" s="146">
        <f t="shared" ref="I37:W37" si="7">+I33-H33</f>
        <v>24</v>
      </c>
      <c r="J37" s="146">
        <f t="shared" si="7"/>
        <v>28.799999999999983</v>
      </c>
      <c r="K37" s="146">
        <f t="shared" si="7"/>
        <v>34.560000000000031</v>
      </c>
      <c r="L37" s="146">
        <f t="shared" si="7"/>
        <v>32.639999999999986</v>
      </c>
      <c r="M37" s="145">
        <f t="shared" si="7"/>
        <v>0</v>
      </c>
      <c r="N37" s="146">
        <f t="shared" si="7"/>
        <v>0</v>
      </c>
      <c r="O37" s="146">
        <f t="shared" si="7"/>
        <v>0</v>
      </c>
      <c r="P37" s="145">
        <f t="shared" si="7"/>
        <v>0</v>
      </c>
      <c r="Q37" s="394">
        <f t="shared" si="7"/>
        <v>0</v>
      </c>
      <c r="R37" s="146">
        <f t="shared" si="7"/>
        <v>0</v>
      </c>
      <c r="S37" s="146">
        <f t="shared" si="7"/>
        <v>0</v>
      </c>
      <c r="T37" s="146">
        <f t="shared" si="7"/>
        <v>0</v>
      </c>
      <c r="U37" s="146">
        <f t="shared" si="7"/>
        <v>0</v>
      </c>
      <c r="V37" s="146">
        <f t="shared" si="7"/>
        <v>0</v>
      </c>
      <c r="W37" s="146">
        <f t="shared" si="7"/>
        <v>0</v>
      </c>
      <c r="X37" s="146">
        <f>X33-W33</f>
        <v>0</v>
      </c>
      <c r="Y37" s="146">
        <f>+Y33-X33</f>
        <v>0</v>
      </c>
      <c r="Z37" s="146">
        <f>Z33-Y33</f>
        <v>0</v>
      </c>
      <c r="AA37" s="147">
        <f>AA33-Z33</f>
        <v>0</v>
      </c>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4"/>
      <c r="BR37" s="204"/>
      <c r="BS37" s="204"/>
      <c r="BT37" s="204"/>
      <c r="BU37" s="204"/>
      <c r="BV37" s="204"/>
      <c r="BW37" s="204"/>
      <c r="BX37" s="204"/>
      <c r="BY37" s="204"/>
      <c r="BZ37" s="204"/>
      <c r="CA37" s="204"/>
      <c r="CB37" s="204"/>
      <c r="CC37" s="204"/>
      <c r="CD37" s="204"/>
      <c r="CE37" s="204"/>
      <c r="CF37" s="204"/>
      <c r="CG37" s="204"/>
      <c r="CH37" s="204"/>
      <c r="CI37" s="204"/>
      <c r="CJ37" s="204"/>
      <c r="CK37" s="204"/>
      <c r="CL37" s="204"/>
      <c r="CM37" s="204"/>
      <c r="CN37" s="204"/>
      <c r="CO37" s="204"/>
      <c r="CP37" s="204"/>
      <c r="CQ37" s="204"/>
      <c r="CR37" s="204"/>
      <c r="CS37" s="204"/>
      <c r="CT37" s="204"/>
      <c r="CU37" s="204"/>
      <c r="CV37" s="204"/>
      <c r="CW37" s="204"/>
      <c r="CX37" s="204"/>
      <c r="CY37" s="204"/>
      <c r="CZ37" s="204"/>
      <c r="DA37" s="204"/>
      <c r="DB37" s="204"/>
      <c r="DC37" s="204"/>
      <c r="DD37" s="204"/>
    </row>
    <row r="38" spans="1:108" s="4" customFormat="1">
      <c r="A38" s="33"/>
      <c r="B38" s="785" t="s">
        <v>324</v>
      </c>
      <c r="C38" s="162"/>
      <c r="D38" s="163"/>
      <c r="E38" s="163"/>
      <c r="F38" s="163"/>
      <c r="G38" s="112"/>
      <c r="H38" s="299"/>
      <c r="I38" s="164"/>
      <c r="J38" s="164"/>
      <c r="K38" s="164"/>
      <c r="L38" s="164"/>
      <c r="M38" s="165"/>
      <c r="N38" s="164"/>
      <c r="O38" s="164"/>
      <c r="P38" s="336"/>
      <c r="Q38" s="395"/>
      <c r="R38" s="164"/>
      <c r="S38" s="164"/>
      <c r="T38" s="164"/>
      <c r="U38" s="164"/>
      <c r="V38" s="164"/>
      <c r="W38" s="164"/>
      <c r="X38" s="164"/>
      <c r="Y38" s="164"/>
      <c r="Z38" s="164"/>
      <c r="AA38" s="166"/>
      <c r="AB38" s="175"/>
      <c r="AC38" s="175"/>
      <c r="AD38" s="175"/>
      <c r="AE38" s="175"/>
      <c r="AF38" s="175"/>
      <c r="AG38" s="175"/>
      <c r="AH38" s="175"/>
      <c r="AI38" s="175"/>
      <c r="AJ38" s="175"/>
      <c r="AK38" s="175"/>
      <c r="AL38" s="175"/>
      <c r="AM38" s="175"/>
      <c r="AN38" s="175"/>
      <c r="AO38" s="175"/>
      <c r="AP38" s="175"/>
      <c r="AQ38" s="175"/>
      <c r="AR38" s="175"/>
      <c r="AS38" s="175"/>
      <c r="AT38" s="175"/>
      <c r="AU38" s="175"/>
      <c r="AV38" s="175"/>
      <c r="AW38" s="175"/>
      <c r="AX38" s="175"/>
      <c r="AY38" s="175"/>
      <c r="AZ38" s="175"/>
      <c r="BA38" s="175"/>
      <c r="BB38" s="175"/>
      <c r="BC38" s="175"/>
      <c r="BD38" s="175"/>
      <c r="BE38" s="175"/>
      <c r="BF38" s="175"/>
      <c r="BG38" s="204"/>
      <c r="BH38" s="204"/>
      <c r="BI38" s="204"/>
      <c r="BJ38" s="204"/>
      <c r="BK38" s="204"/>
      <c r="BL38" s="204"/>
      <c r="BM38" s="204"/>
      <c r="BN38" s="204"/>
      <c r="BO38" s="204"/>
      <c r="BP38" s="204"/>
      <c r="BQ38" s="204"/>
      <c r="BR38" s="204"/>
      <c r="BS38" s="204"/>
      <c r="BT38" s="204"/>
      <c r="BU38" s="204"/>
      <c r="BV38" s="204"/>
      <c r="BW38" s="204"/>
      <c r="BX38" s="204"/>
      <c r="BY38" s="204"/>
      <c r="BZ38" s="204"/>
      <c r="CA38" s="204"/>
      <c r="CB38" s="204"/>
      <c r="CC38" s="204"/>
      <c r="CD38" s="204"/>
      <c r="CE38" s="204"/>
      <c r="CF38" s="204"/>
      <c r="CG38" s="204"/>
      <c r="CH38" s="204"/>
      <c r="CI38" s="204"/>
      <c r="CJ38" s="204"/>
      <c r="CK38" s="204"/>
      <c r="CL38" s="204"/>
      <c r="CM38" s="204"/>
      <c r="CN38" s="204"/>
      <c r="CO38" s="204"/>
      <c r="CP38" s="204"/>
      <c r="CQ38" s="204"/>
      <c r="CR38" s="204"/>
      <c r="CS38" s="204"/>
      <c r="CT38" s="204"/>
      <c r="CU38" s="204"/>
      <c r="CV38" s="204"/>
      <c r="CW38" s="204"/>
      <c r="CX38" s="204"/>
      <c r="CY38" s="204"/>
      <c r="CZ38" s="204"/>
      <c r="DA38" s="204"/>
      <c r="DB38" s="204"/>
      <c r="DC38" s="204"/>
      <c r="DD38" s="204"/>
    </row>
    <row r="39" spans="1:108" s="182" customFormat="1" ht="30">
      <c r="A39" s="34"/>
      <c r="B39" s="423" t="s">
        <v>131</v>
      </c>
      <c r="C39" s="190">
        <f>'3-DONNEES DE BASE'!E84</f>
        <v>0.05</v>
      </c>
      <c r="D39" s="191"/>
      <c r="E39" s="191"/>
      <c r="F39" s="191"/>
      <c r="G39" s="192"/>
      <c r="H39" s="81">
        <f>('3-DONNEES DE BASE'!E78+'3-DONNEES DE BASE'!E79+'3-DONNEES DE BASE'!E80)*('7-Calcul de base AVEC   TVA'!E29+'7-Calcul de base AVEC   TVA'!F29+'7-Calcul de base AVEC   TVA'!G29)</f>
        <v>13918.014228509848</v>
      </c>
      <c r="I39" s="193">
        <f>+H39*(1+'3-DONNEES DE BASE'!$E$84)</f>
        <v>14613.914939935341</v>
      </c>
      <c r="J39" s="193">
        <f>+I39*(1+'3-DONNEES DE BASE'!$E$84)</f>
        <v>15344.610686932108</v>
      </c>
      <c r="K39" s="193">
        <f>J39*(1+'3-DONNEES DE BASE'!$E$84)</f>
        <v>16111.841221278715</v>
      </c>
      <c r="L39" s="193">
        <f>K39+K39*'3-DONNEES DE BASE'!$E$84</f>
        <v>16917.433282342652</v>
      </c>
      <c r="M39" s="41">
        <f>L39+L39*'3-DONNEES DE BASE'!$E$84</f>
        <v>17763.304946459786</v>
      </c>
      <c r="N39" s="193">
        <f>M39+M39*'3-DONNEES DE BASE'!$E$84</f>
        <v>18651.470193782774</v>
      </c>
      <c r="O39" s="193">
        <f>N39+N39*'3-DONNEES DE BASE'!$E$84</f>
        <v>19584.043703471914</v>
      </c>
      <c r="P39" s="41">
        <f>O39+O39*'3-DONNEES DE BASE'!$E$84</f>
        <v>20563.24588864551</v>
      </c>
      <c r="Q39" s="226">
        <f>P39+P39*'3-DONNEES DE BASE'!$E$84</f>
        <v>21591.408183077787</v>
      </c>
      <c r="R39" s="193">
        <f>Q39+Q39*'3-DONNEES DE BASE'!$E$84</f>
        <v>22670.978592231677</v>
      </c>
      <c r="S39" s="193">
        <f>R39+R39*'3-DONNEES DE BASE'!$E$84</f>
        <v>23804.527521843262</v>
      </c>
      <c r="T39" s="193">
        <f>S39+S39*'3-DONNEES DE BASE'!$E$84</f>
        <v>24994.753897935425</v>
      </c>
      <c r="U39" s="193">
        <f>T39+T39*'3-DONNEES DE BASE'!$E$84</f>
        <v>26244.491592832197</v>
      </c>
      <c r="V39" s="193">
        <f>U39+U39*'3-DONNEES DE BASE'!$E$84</f>
        <v>27556.716172473807</v>
      </c>
      <c r="W39" s="193">
        <f>V39+V39*'3-DONNEES DE BASE'!$E$84</f>
        <v>28934.551981097498</v>
      </c>
      <c r="X39" s="193">
        <f>W39+W39*'3-DONNEES DE BASE'!$E$84</f>
        <v>30381.279580152375</v>
      </c>
      <c r="Y39" s="193">
        <f>X39+X39*'3-DONNEES DE BASE'!$E$84</f>
        <v>31900.343559159995</v>
      </c>
      <c r="Z39" s="193">
        <f>Y39+Y39*'3-DONNEES DE BASE'!$E$84</f>
        <v>33495.360737117997</v>
      </c>
      <c r="AA39" s="194">
        <f>Z39+Z39*'3-DONNEES DE BASE'!$E$84</f>
        <v>35170.128773973898</v>
      </c>
      <c r="AB39" s="388"/>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6"/>
      <c r="BH39" s="206"/>
      <c r="BI39" s="206"/>
      <c r="BJ39" s="206"/>
      <c r="BK39" s="206"/>
      <c r="BL39" s="206"/>
      <c r="BM39" s="206"/>
      <c r="BN39" s="206"/>
      <c r="BO39" s="206"/>
      <c r="BP39" s="206"/>
      <c r="BQ39" s="206"/>
      <c r="BR39" s="206"/>
      <c r="BS39" s="206"/>
      <c r="BT39" s="206"/>
      <c r="BU39" s="206"/>
      <c r="BV39" s="206"/>
      <c r="BW39" s="206"/>
      <c r="BX39" s="206"/>
      <c r="BY39" s="206"/>
      <c r="BZ39" s="206"/>
      <c r="CA39" s="206"/>
      <c r="CB39" s="206"/>
      <c r="CC39" s="206"/>
      <c r="CD39" s="206"/>
      <c r="CE39" s="206"/>
      <c r="CF39" s="206"/>
      <c r="CG39" s="206"/>
      <c r="CH39" s="206"/>
      <c r="CI39" s="206"/>
      <c r="CJ39" s="206"/>
      <c r="CK39" s="206"/>
      <c r="CL39" s="206"/>
      <c r="CM39" s="206"/>
      <c r="CN39" s="206"/>
      <c r="CO39" s="206"/>
      <c r="CP39" s="206"/>
      <c r="CQ39" s="206"/>
      <c r="CR39" s="206"/>
      <c r="CS39" s="206"/>
      <c r="CT39" s="206"/>
      <c r="CU39" s="206"/>
      <c r="CV39" s="206"/>
      <c r="CW39" s="206"/>
      <c r="CX39" s="206"/>
      <c r="CY39" s="206"/>
      <c r="CZ39" s="206"/>
      <c r="DA39" s="206"/>
      <c r="DB39" s="206"/>
      <c r="DC39" s="206"/>
      <c r="DD39" s="206"/>
    </row>
    <row r="40" spans="1:108" s="182" customFormat="1">
      <c r="A40" s="34"/>
      <c r="B40" s="423" t="s">
        <v>132</v>
      </c>
      <c r="C40" s="195"/>
      <c r="D40" s="196"/>
      <c r="E40" s="196"/>
      <c r="F40" s="196"/>
      <c r="G40" s="197"/>
      <c r="H40" s="202">
        <f>+H39/H47</f>
        <v>0.10465116279069768</v>
      </c>
      <c r="I40" s="198">
        <f t="shared" ref="I40:AA40" si="8">+I39/I47</f>
        <v>0.11150442477876107</v>
      </c>
      <c r="J40" s="198">
        <f t="shared" si="8"/>
        <v>0.11880032326618579</v>
      </c>
      <c r="K40" s="198">
        <f t="shared" si="8"/>
        <v>0.12656461402264679</v>
      </c>
      <c r="L40" s="198">
        <f t="shared" si="8"/>
        <v>0.13482395955302018</v>
      </c>
      <c r="M40" s="198">
        <f t="shared" si="8"/>
        <v>0.1436058481234434</v>
      </c>
      <c r="N40" s="198">
        <f t="shared" si="8"/>
        <v>0.15293848746426902</v>
      </c>
      <c r="O40" s="198">
        <f t="shared" si="8"/>
        <v>0.16285066958367025</v>
      </c>
      <c r="P40" s="41">
        <f t="shared" si="8"/>
        <v>0.17337160294842691</v>
      </c>
      <c r="Q40" s="202">
        <f t="shared" si="8"/>
        <v>0.18453070818361431</v>
      </c>
      <c r="R40" s="198">
        <f t="shared" si="8"/>
        <v>0.19635737343833984</v>
      </c>
      <c r="S40" s="198">
        <f t="shared" si="8"/>
        <v>0.20417072078692022</v>
      </c>
      <c r="T40" s="198">
        <f t="shared" si="8"/>
        <v>0.21221287405347811</v>
      </c>
      <c r="U40" s="198">
        <f t="shared" si="8"/>
        <v>0.2204840401638474</v>
      </c>
      <c r="V40" s="198">
        <f t="shared" si="8"/>
        <v>0.2289838776482265</v>
      </c>
      <c r="W40" s="198">
        <f t="shared" si="8"/>
        <v>0.23771146685850247</v>
      </c>
      <c r="X40" s="198">
        <f t="shared" si="8"/>
        <v>0.24666528190222539</v>
      </c>
      <c r="Y40" s="198">
        <f t="shared" si="8"/>
        <v>0.25584316468040419</v>
      </c>
      <c r="Z40" s="198">
        <f t="shared" si="8"/>
        <v>0.26524230142424976</v>
      </c>
      <c r="AA40" s="199">
        <f t="shared" si="8"/>
        <v>0.27485920212845305</v>
      </c>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6"/>
      <c r="BH40" s="206"/>
      <c r="BI40" s="206"/>
      <c r="BJ40" s="206"/>
      <c r="BK40" s="206"/>
      <c r="BL40" s="206"/>
      <c r="BM40" s="206"/>
      <c r="BN40" s="206"/>
      <c r="BO40" s="206"/>
      <c r="BP40" s="206"/>
      <c r="BQ40" s="206"/>
      <c r="BR40" s="206"/>
      <c r="BS40" s="206"/>
      <c r="BT40" s="206"/>
      <c r="BU40" s="206"/>
      <c r="BV40" s="206"/>
      <c r="BW40" s="206"/>
      <c r="BX40" s="206"/>
      <c r="BY40" s="206"/>
      <c r="BZ40" s="206"/>
      <c r="CA40" s="206"/>
      <c r="CB40" s="206"/>
      <c r="CC40" s="206"/>
      <c r="CD40" s="206"/>
      <c r="CE40" s="206"/>
      <c r="CF40" s="206"/>
      <c r="CG40" s="206"/>
      <c r="CH40" s="206"/>
      <c r="CI40" s="206"/>
      <c r="CJ40" s="206"/>
      <c r="CK40" s="206"/>
      <c r="CL40" s="206"/>
      <c r="CM40" s="206"/>
      <c r="CN40" s="206"/>
      <c r="CO40" s="206"/>
      <c r="CP40" s="206"/>
      <c r="CQ40" s="206"/>
      <c r="CR40" s="206"/>
      <c r="CS40" s="206"/>
      <c r="CT40" s="206"/>
      <c r="CU40" s="206"/>
      <c r="CV40" s="206"/>
      <c r="CW40" s="206"/>
      <c r="CX40" s="206"/>
      <c r="CY40" s="206"/>
      <c r="CZ40" s="206"/>
      <c r="DA40" s="206"/>
      <c r="DB40" s="206"/>
      <c r="DC40" s="206"/>
      <c r="DD40" s="206"/>
    </row>
    <row r="41" spans="1:108" s="129" customFormat="1">
      <c r="A41" s="127"/>
      <c r="B41" s="169" t="s">
        <v>133</v>
      </c>
      <c r="C41" s="152"/>
      <c r="D41" s="79">
        <f>+'3-DONNEES DE BASE'!E85</f>
        <v>0.03</v>
      </c>
      <c r="E41" s="50"/>
      <c r="F41" s="78"/>
      <c r="G41" s="88"/>
      <c r="H41" s="80">
        <f>+'3-DONNEES DE BASE'!E85*('7-Calcul de base AVEC   TVA'!E29+'7-Calcul de base AVEC   TVA'!F29+'7-Calcul de base AVEC   TVA'!G29)</f>
        <v>46393.380761699482</v>
      </c>
      <c r="I41" s="80">
        <f>+'3-DONNEES DE BASE'!$E$85*('7-Calcul de base AVEC   TVA'!$E$26+'7-Calcul de base AVEC   TVA'!$F$26+'7-Calcul de base AVEC   TVA'!$G$26)</f>
        <v>46393.380761699482</v>
      </c>
      <c r="J41" s="80">
        <f>+'3-DONNEES DE BASE'!$E$85*('7-Calcul de base AVEC   TVA'!$E$26+'7-Calcul de base AVEC   TVA'!$F$26+'7-Calcul de base AVEC   TVA'!$G$26)</f>
        <v>46393.380761699482</v>
      </c>
      <c r="K41" s="80">
        <f>+'3-DONNEES DE BASE'!$E$85*('7-Calcul de base AVEC   TVA'!$E$26+'7-Calcul de base AVEC   TVA'!$F$26+'7-Calcul de base AVEC   TVA'!$G$26)</f>
        <v>46393.380761699482</v>
      </c>
      <c r="L41" s="80">
        <f>+'3-DONNEES DE BASE'!$E$85*('7-Calcul de base AVEC   TVA'!$E$26+'7-Calcul de base AVEC   TVA'!$F$26+'7-Calcul de base AVEC   TVA'!$G$26)</f>
        <v>46393.380761699482</v>
      </c>
      <c r="M41" s="80">
        <f>+'3-DONNEES DE BASE'!$E$85*('7-Calcul de base AVEC   TVA'!$E$26+'7-Calcul de base AVEC   TVA'!$F$26+'7-Calcul de base AVEC   TVA'!$G$26)</f>
        <v>46393.380761699482</v>
      </c>
      <c r="N41" s="80">
        <f>+'3-DONNEES DE BASE'!$E$85*('7-Calcul de base AVEC   TVA'!$E$26+'7-Calcul de base AVEC   TVA'!$F$26+'7-Calcul de base AVEC   TVA'!$G$26)</f>
        <v>46393.380761699482</v>
      </c>
      <c r="O41" s="80">
        <f>+'3-DONNEES DE BASE'!$E$85*('7-Calcul de base AVEC   TVA'!$E$26+'7-Calcul de base AVEC   TVA'!$F$26+'7-Calcul de base AVEC   TVA'!$G$26)</f>
        <v>46393.380761699482</v>
      </c>
      <c r="P41" s="80">
        <f>+'3-DONNEES DE BASE'!$E$85*('7-Calcul de base AVEC   TVA'!$E$26+'7-Calcul de base AVEC   TVA'!$F$26+'7-Calcul de base AVEC   TVA'!$G$26)</f>
        <v>46393.380761699482</v>
      </c>
      <c r="Q41" s="80">
        <f>+'3-DONNEES DE BASE'!$E$85*('7-Calcul de base AVEC   TVA'!$E$26+'7-Calcul de base AVEC   TVA'!$F$26+'7-Calcul de base AVEC   TVA'!$G$26)</f>
        <v>46393.380761699482</v>
      </c>
      <c r="R41" s="80">
        <f>+'3-DONNEES DE BASE'!$E$85*('7-Calcul de base AVEC   TVA'!$E$26+'7-Calcul de base AVEC   TVA'!$F$26+'7-Calcul de base AVEC   TVA'!$G$26)</f>
        <v>46393.380761699482</v>
      </c>
      <c r="S41" s="80">
        <f>+'3-DONNEES DE BASE'!$E$85*('7-Calcul de base AVEC   TVA'!$E$26+'7-Calcul de base AVEC   TVA'!$F$26+'7-Calcul de base AVEC   TVA'!$G$26)</f>
        <v>46393.380761699482</v>
      </c>
      <c r="T41" s="80">
        <f>+'3-DONNEES DE BASE'!$E$85*('7-Calcul de base AVEC   TVA'!$E$26+'7-Calcul de base AVEC   TVA'!$F$26+'7-Calcul de base AVEC   TVA'!$G$26)</f>
        <v>46393.380761699482</v>
      </c>
      <c r="U41" s="80">
        <f>+'3-DONNEES DE BASE'!$E$85*('7-Calcul de base AVEC   TVA'!$E$26+'7-Calcul de base AVEC   TVA'!$F$26+'7-Calcul de base AVEC   TVA'!$G$26)</f>
        <v>46393.380761699482</v>
      </c>
      <c r="V41" s="80">
        <f>+'3-DONNEES DE BASE'!$E$85*('7-Calcul de base AVEC   TVA'!$E$26+'7-Calcul de base AVEC   TVA'!$F$26+'7-Calcul de base AVEC   TVA'!$G$26)</f>
        <v>46393.380761699482</v>
      </c>
      <c r="W41" s="80">
        <f>+'3-DONNEES DE BASE'!$E$85*('7-Calcul de base AVEC   TVA'!$E$26+'7-Calcul de base AVEC   TVA'!$F$26+'7-Calcul de base AVEC   TVA'!$G$26)</f>
        <v>46393.380761699482</v>
      </c>
      <c r="X41" s="80">
        <f>+'3-DONNEES DE BASE'!$E$85*('7-Calcul de base AVEC   TVA'!$E$26+'7-Calcul de base AVEC   TVA'!$F$26+'7-Calcul de base AVEC   TVA'!$G$26)</f>
        <v>46393.380761699482</v>
      </c>
      <c r="Y41" s="80">
        <f>+'3-DONNEES DE BASE'!$E$85*('7-Calcul de base AVEC   TVA'!$E$26+'7-Calcul de base AVEC   TVA'!$F$26+'7-Calcul de base AVEC   TVA'!$G$26)</f>
        <v>46393.380761699482</v>
      </c>
      <c r="Z41" s="80">
        <f>+'3-DONNEES DE BASE'!$E$85*('7-Calcul de base AVEC   TVA'!$E$26+'7-Calcul de base AVEC   TVA'!$F$26+'7-Calcul de base AVEC   TVA'!$G$26)</f>
        <v>46393.380761699482</v>
      </c>
      <c r="AA41" s="170">
        <f>+'3-DONNEES DE BASE'!$E$85*('7-Calcul de base AVEC   TVA'!$E$26+'7-Calcul de base AVEC   TVA'!$F$26+'7-Calcul de base AVEC   TVA'!$G$26)</f>
        <v>46393.380761699482</v>
      </c>
      <c r="AB41" s="175"/>
      <c r="AC41" s="175"/>
      <c r="AD41" s="175"/>
      <c r="AE41" s="175"/>
      <c r="AF41" s="175"/>
      <c r="AG41" s="175"/>
      <c r="AH41" s="175"/>
      <c r="AI41" s="175"/>
      <c r="AJ41" s="175"/>
      <c r="AK41" s="175"/>
      <c r="AL41" s="175"/>
      <c r="AM41" s="175"/>
      <c r="AN41" s="175"/>
      <c r="AO41" s="175"/>
      <c r="AP41" s="175"/>
      <c r="AQ41" s="175"/>
      <c r="AR41" s="175"/>
      <c r="AS41" s="175"/>
      <c r="AT41" s="175"/>
      <c r="AU41" s="175"/>
      <c r="AV41" s="175"/>
      <c r="AW41" s="175"/>
      <c r="AX41" s="175"/>
      <c r="AY41" s="175"/>
      <c r="AZ41" s="175"/>
      <c r="BA41" s="175"/>
      <c r="BB41" s="175"/>
      <c r="BC41" s="175"/>
      <c r="BD41" s="175"/>
      <c r="BE41" s="175"/>
      <c r="BF41" s="175"/>
      <c r="BG41" s="204"/>
      <c r="BH41" s="204"/>
      <c r="BI41" s="204"/>
      <c r="BJ41" s="204"/>
      <c r="BK41" s="204"/>
      <c r="BL41" s="204"/>
      <c r="BM41" s="204"/>
      <c r="BN41" s="204"/>
      <c r="BO41" s="204"/>
      <c r="BP41" s="204"/>
      <c r="BQ41" s="204"/>
      <c r="BR41" s="204"/>
      <c r="BS41" s="204"/>
      <c r="BT41" s="204"/>
      <c r="BU41" s="204"/>
      <c r="BV41" s="204"/>
      <c r="BW41" s="204"/>
      <c r="BX41" s="204"/>
      <c r="BY41" s="204"/>
      <c r="BZ41" s="204"/>
      <c r="CA41" s="204"/>
      <c r="CB41" s="204"/>
      <c r="CC41" s="204"/>
      <c r="CD41" s="204"/>
      <c r="CE41" s="204"/>
      <c r="CF41" s="204"/>
      <c r="CG41" s="204"/>
      <c r="CH41" s="204"/>
      <c r="CI41" s="204"/>
      <c r="CJ41" s="204"/>
      <c r="CK41" s="204"/>
      <c r="CL41" s="204"/>
      <c r="CM41" s="204"/>
      <c r="CN41" s="204"/>
      <c r="CO41" s="204"/>
      <c r="CP41" s="204"/>
      <c r="CQ41" s="204"/>
      <c r="CR41" s="204"/>
      <c r="CS41" s="204"/>
      <c r="CT41" s="204"/>
      <c r="CU41" s="204"/>
      <c r="CV41" s="204"/>
      <c r="CW41" s="204"/>
      <c r="CX41" s="204"/>
      <c r="CY41" s="204"/>
      <c r="CZ41" s="204"/>
      <c r="DA41" s="204"/>
      <c r="DB41" s="204"/>
      <c r="DC41" s="204"/>
      <c r="DD41" s="204"/>
    </row>
    <row r="42" spans="1:108" s="200" customFormat="1" ht="20.100000000000001" customHeight="1">
      <c r="A42" s="132"/>
      <c r="B42" s="423" t="s">
        <v>134</v>
      </c>
      <c r="C42" s="325"/>
      <c r="D42" s="198"/>
      <c r="E42" s="196"/>
      <c r="F42" s="196"/>
      <c r="G42" s="197"/>
      <c r="H42" s="202">
        <f>+H41/H47</f>
        <v>0.34883720930232553</v>
      </c>
      <c r="I42" s="198">
        <f t="shared" ref="I42:AA42" si="9">+I41/I47</f>
        <v>0.35398230088495569</v>
      </c>
      <c r="J42" s="198">
        <f t="shared" si="9"/>
        <v>0.35918465084258733</v>
      </c>
      <c r="K42" s="198">
        <f t="shared" si="9"/>
        <v>0.36443757412128786</v>
      </c>
      <c r="L42" s="198">
        <f t="shared" si="9"/>
        <v>0.36973335061836748</v>
      </c>
      <c r="M42" s="198">
        <f t="shared" si="9"/>
        <v>0.37506313220871096</v>
      </c>
      <c r="N42" s="198">
        <f t="shared" si="9"/>
        <v>0.38041684694718453</v>
      </c>
      <c r="O42" s="198">
        <f t="shared" si="9"/>
        <v>0.38578310157434548</v>
      </c>
      <c r="P42" s="41">
        <f t="shared" si="9"/>
        <v>0.3911490837783469</v>
      </c>
      <c r="Q42" s="202">
        <f t="shared" si="9"/>
        <v>0.39650046603714056</v>
      </c>
      <c r="R42" s="198">
        <f t="shared" si="9"/>
        <v>0.40182131328083004</v>
      </c>
      <c r="S42" s="198">
        <f t="shared" si="9"/>
        <v>0.39791463960653989</v>
      </c>
      <c r="T42" s="198">
        <f t="shared" si="9"/>
        <v>0.39389356297326095</v>
      </c>
      <c r="U42" s="198">
        <f t="shared" si="9"/>
        <v>0.38975797991807631</v>
      </c>
      <c r="V42" s="198">
        <f t="shared" si="9"/>
        <v>0.38550806117588671</v>
      </c>
      <c r="W42" s="198">
        <f t="shared" si="9"/>
        <v>0.38114426657074879</v>
      </c>
      <c r="X42" s="198">
        <f t="shared" si="9"/>
        <v>0.37666735904888732</v>
      </c>
      <c r="Y42" s="198">
        <f t="shared" si="9"/>
        <v>0.37207841765979788</v>
      </c>
      <c r="Z42" s="198">
        <f t="shared" si="9"/>
        <v>0.36737884928787512</v>
      </c>
      <c r="AA42" s="199">
        <f t="shared" si="9"/>
        <v>0.36257039893577353</v>
      </c>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6"/>
      <c r="BH42" s="206"/>
      <c r="BI42" s="206"/>
      <c r="BJ42" s="206"/>
      <c r="BK42" s="206"/>
      <c r="BL42" s="206"/>
      <c r="BM42" s="206"/>
      <c r="BN42" s="206"/>
      <c r="BO42" s="206"/>
      <c r="BP42" s="206"/>
      <c r="BQ42" s="206"/>
      <c r="BR42" s="206"/>
      <c r="BS42" s="206"/>
      <c r="BT42" s="206"/>
      <c r="BU42" s="206"/>
      <c r="BV42" s="206"/>
      <c r="BW42" s="206"/>
      <c r="BX42" s="206"/>
      <c r="BY42" s="206"/>
      <c r="BZ42" s="206"/>
      <c r="CA42" s="206"/>
      <c r="CB42" s="206"/>
      <c r="CC42" s="206"/>
      <c r="CD42" s="206"/>
      <c r="CE42" s="206"/>
      <c r="CF42" s="206"/>
      <c r="CG42" s="206"/>
      <c r="CH42" s="206"/>
      <c r="CI42" s="206"/>
      <c r="CJ42" s="206"/>
      <c r="CK42" s="206"/>
      <c r="CL42" s="206"/>
      <c r="CM42" s="206"/>
      <c r="CN42" s="206"/>
      <c r="CO42" s="206"/>
      <c r="CP42" s="206"/>
      <c r="CQ42" s="206"/>
      <c r="CR42" s="206"/>
      <c r="CS42" s="206"/>
      <c r="CT42" s="206"/>
      <c r="CU42" s="206"/>
      <c r="CV42" s="206"/>
      <c r="CW42" s="206"/>
      <c r="CX42" s="206"/>
      <c r="CY42" s="206"/>
      <c r="CZ42" s="206"/>
      <c r="DA42" s="206"/>
      <c r="DB42" s="206"/>
      <c r="DC42" s="206"/>
      <c r="DD42" s="206"/>
    </row>
    <row r="43" spans="1:108" s="92" customFormat="1">
      <c r="B43" s="167" t="s">
        <v>135</v>
      </c>
      <c r="C43" s="304"/>
      <c r="D43" s="300">
        <f>+'3-DONNEES DE BASE'!E86</f>
        <v>0.03</v>
      </c>
      <c r="E43" s="305"/>
      <c r="F43" s="305"/>
      <c r="G43" s="305"/>
      <c r="H43" s="80">
        <f>+'3-DONNEES DE BASE'!$E$86*('7-Calcul de base AVEC   TVA'!$E$26+'7-Calcul de base AVEC   TVA'!$F$26+'7-Calcul de base AVEC   TVA'!$G$26)</f>
        <v>46393.380761699482</v>
      </c>
      <c r="I43" s="80">
        <f>+'3-DONNEES DE BASE'!$E$86*('7-Calcul de base AVEC   TVA'!$E$26+'7-Calcul de base AVEC   TVA'!$F$26+'7-Calcul de base AVEC   TVA'!$G$26)</f>
        <v>46393.380761699482</v>
      </c>
      <c r="J43" s="80">
        <f>+'3-DONNEES DE BASE'!$E$86*('7-Calcul de base AVEC   TVA'!$E$26+'7-Calcul de base AVEC   TVA'!$F$26+'7-Calcul de base AVEC   TVA'!$G$26)</f>
        <v>46393.380761699482</v>
      </c>
      <c r="K43" s="80">
        <f>+'3-DONNEES DE BASE'!$E$86*('7-Calcul de base AVEC   TVA'!$E$26+'7-Calcul de base AVEC   TVA'!$F$26+'7-Calcul de base AVEC   TVA'!$G$26)</f>
        <v>46393.380761699482</v>
      </c>
      <c r="L43" s="80">
        <f>+'3-DONNEES DE BASE'!$E$86*('7-Calcul de base AVEC   TVA'!$E$26+'7-Calcul de base AVEC   TVA'!$F$26+'7-Calcul de base AVEC   TVA'!$G$26)</f>
        <v>46393.380761699482</v>
      </c>
      <c r="M43" s="80">
        <f>+'3-DONNEES DE BASE'!$E$86*('7-Calcul de base AVEC   TVA'!$E$26+'7-Calcul de base AVEC   TVA'!$F$26+'7-Calcul de base AVEC   TVA'!$G$26)</f>
        <v>46393.380761699482</v>
      </c>
      <c r="N43" s="80">
        <f>+'3-DONNEES DE BASE'!$E$86*('7-Calcul de base AVEC   TVA'!$E$26+'7-Calcul de base AVEC   TVA'!$F$26+'7-Calcul de base AVEC   TVA'!$G$26)</f>
        <v>46393.380761699482</v>
      </c>
      <c r="O43" s="80">
        <f>+'3-DONNEES DE BASE'!$E$86*('7-Calcul de base AVEC   TVA'!$E$26+'7-Calcul de base AVEC   TVA'!$F$26+'7-Calcul de base AVEC   TVA'!$G$26)</f>
        <v>46393.380761699482</v>
      </c>
      <c r="P43" s="80">
        <f>+'3-DONNEES DE BASE'!$E$86*('7-Calcul de base AVEC   TVA'!$E$26+'7-Calcul de base AVEC   TVA'!$F$26+'7-Calcul de base AVEC   TVA'!$G$26)</f>
        <v>46393.380761699482</v>
      </c>
      <c r="Q43" s="80">
        <f>+'3-DONNEES DE BASE'!$E$86*('7-Calcul de base AVEC   TVA'!$E$26+'7-Calcul de base AVEC   TVA'!$F$26+'7-Calcul de base AVEC   TVA'!$G$26)</f>
        <v>46393.380761699482</v>
      </c>
      <c r="R43" s="80">
        <f>+'3-DONNEES DE BASE'!$E$86*('7-Calcul de base AVEC   TVA'!$E$26+'7-Calcul de base AVEC   TVA'!$F$26+'7-Calcul de base AVEC   TVA'!$G$26)</f>
        <v>46393.380761699482</v>
      </c>
      <c r="S43" s="80">
        <f>+'3-DONNEES DE BASE'!$E$86*('7-Calcul de base AVEC   TVA'!$E$26+'7-Calcul de base AVEC   TVA'!$F$26+'7-Calcul de base AVEC   TVA'!$G$26)</f>
        <v>46393.380761699482</v>
      </c>
      <c r="T43" s="80">
        <f>+'3-DONNEES DE BASE'!$E$86*('7-Calcul de base AVEC   TVA'!$E$26+'7-Calcul de base AVEC   TVA'!$F$26+'7-Calcul de base AVEC   TVA'!$G$26)</f>
        <v>46393.380761699482</v>
      </c>
      <c r="U43" s="80">
        <f>+'3-DONNEES DE BASE'!$E$86*('7-Calcul de base AVEC   TVA'!$E$26+'7-Calcul de base AVEC   TVA'!$F$26+'7-Calcul de base AVEC   TVA'!$G$26)</f>
        <v>46393.380761699482</v>
      </c>
      <c r="V43" s="80">
        <f>+'3-DONNEES DE BASE'!$E$86*('7-Calcul de base AVEC   TVA'!$E$26+'7-Calcul de base AVEC   TVA'!$F$26+'7-Calcul de base AVEC   TVA'!$G$26)</f>
        <v>46393.380761699482</v>
      </c>
      <c r="W43" s="80">
        <f>+'3-DONNEES DE BASE'!$E$86*('7-Calcul de base AVEC   TVA'!$E$26+'7-Calcul de base AVEC   TVA'!$F$26+'7-Calcul de base AVEC   TVA'!$G$26)</f>
        <v>46393.380761699482</v>
      </c>
      <c r="X43" s="80">
        <f>+'3-DONNEES DE BASE'!$E$86*('7-Calcul de base AVEC   TVA'!$E$26+'7-Calcul de base AVEC   TVA'!$F$26+'7-Calcul de base AVEC   TVA'!$G$26)</f>
        <v>46393.380761699482</v>
      </c>
      <c r="Y43" s="80">
        <f>+'3-DONNEES DE BASE'!$E$86*('7-Calcul de base AVEC   TVA'!$E$26+'7-Calcul de base AVEC   TVA'!$F$26+'7-Calcul de base AVEC   TVA'!$G$26)</f>
        <v>46393.380761699482</v>
      </c>
      <c r="Z43" s="80">
        <f>+'3-DONNEES DE BASE'!$E$86*('7-Calcul de base AVEC   TVA'!$E$26+'7-Calcul de base AVEC   TVA'!$F$26+'7-Calcul de base AVEC   TVA'!$G$26)</f>
        <v>46393.380761699482</v>
      </c>
      <c r="AA43" s="170">
        <f>+'3-DONNEES DE BASE'!$E$86*('7-Calcul de base AVEC   TVA'!$E$26+'7-Calcul de base AVEC   TVA'!$F$26+'7-Calcul de base AVEC   TVA'!$G$26)</f>
        <v>46393.380761699482</v>
      </c>
      <c r="AB43" s="303"/>
      <c r="AC43" s="303"/>
      <c r="AD43" s="303"/>
      <c r="AE43" s="303"/>
      <c r="AF43" s="303"/>
      <c r="AG43" s="303"/>
      <c r="AH43" s="303"/>
      <c r="AI43" s="303"/>
      <c r="AJ43" s="303"/>
      <c r="AK43" s="303"/>
      <c r="AL43" s="303"/>
      <c r="AM43" s="303"/>
      <c r="AN43" s="303"/>
      <c r="AO43" s="303"/>
      <c r="AP43" s="303"/>
      <c r="AQ43" s="303"/>
      <c r="AR43" s="303"/>
      <c r="AS43" s="303"/>
      <c r="AT43" s="303"/>
      <c r="AU43" s="303"/>
      <c r="AV43" s="303"/>
      <c r="AW43" s="303"/>
      <c r="AX43" s="303"/>
      <c r="AY43" s="303"/>
      <c r="AZ43" s="303"/>
      <c r="BA43" s="303"/>
      <c r="BB43" s="303"/>
      <c r="BC43" s="303"/>
      <c r="BD43" s="303"/>
      <c r="BE43" s="303"/>
      <c r="BF43" s="303"/>
      <c r="BG43" s="94"/>
      <c r="BH43" s="94"/>
      <c r="BI43" s="94"/>
      <c r="BJ43" s="94"/>
      <c r="BK43" s="94"/>
      <c r="BL43" s="94"/>
      <c r="BM43" s="94"/>
      <c r="BN43" s="94"/>
      <c r="BO43" s="94"/>
      <c r="BP43" s="94"/>
      <c r="BQ43" s="94"/>
      <c r="BR43" s="94"/>
      <c r="BS43" s="94"/>
      <c r="BT43" s="94"/>
      <c r="BU43" s="94"/>
      <c r="BV43" s="94"/>
      <c r="BW43" s="94"/>
      <c r="BX43" s="94"/>
      <c r="BY43" s="94"/>
      <c r="BZ43" s="94"/>
      <c r="CA43" s="94"/>
      <c r="CB43" s="94"/>
      <c r="CC43" s="94"/>
      <c r="CD43" s="94"/>
      <c r="CE43" s="94"/>
      <c r="CF43" s="94"/>
      <c r="CG43" s="94"/>
      <c r="CH43" s="94"/>
      <c r="CI43" s="94"/>
      <c r="CJ43" s="94"/>
      <c r="CK43" s="94"/>
      <c r="CL43" s="94"/>
      <c r="CM43" s="94"/>
      <c r="CN43" s="94"/>
      <c r="CO43" s="94"/>
      <c r="CP43" s="94"/>
      <c r="CQ43" s="94"/>
      <c r="CR43" s="94"/>
      <c r="CS43" s="94"/>
      <c r="CT43" s="94"/>
      <c r="CU43" s="94"/>
      <c r="CV43" s="94"/>
      <c r="CW43" s="94"/>
      <c r="CX43" s="94"/>
      <c r="CY43" s="94"/>
      <c r="CZ43" s="94"/>
      <c r="DA43" s="94"/>
      <c r="DB43" s="94"/>
      <c r="DC43" s="94"/>
      <c r="DD43" s="94"/>
    </row>
    <row r="44" spans="1:108" s="4" customFormat="1">
      <c r="A44" s="33"/>
      <c r="B44" s="423" t="s">
        <v>136</v>
      </c>
      <c r="C44" s="71"/>
      <c r="D44" s="78"/>
      <c r="E44" s="78"/>
      <c r="F44" s="78"/>
      <c r="G44" s="90"/>
      <c r="H44" s="300">
        <f>+H43/H47</f>
        <v>0.34883720930232553</v>
      </c>
      <c r="I44" s="79">
        <f t="shared" ref="I44:AA44" si="10">+I43/I47</f>
        <v>0.35398230088495569</v>
      </c>
      <c r="J44" s="79">
        <f t="shared" si="10"/>
        <v>0.35918465084258733</v>
      </c>
      <c r="K44" s="79">
        <f t="shared" si="10"/>
        <v>0.36443757412128786</v>
      </c>
      <c r="L44" s="79">
        <f t="shared" si="10"/>
        <v>0.36973335061836748</v>
      </c>
      <c r="M44" s="79">
        <f t="shared" si="10"/>
        <v>0.37506313220871096</v>
      </c>
      <c r="N44" s="79">
        <f t="shared" si="10"/>
        <v>0.38041684694718453</v>
      </c>
      <c r="O44" s="79">
        <f t="shared" si="10"/>
        <v>0.38578310157434548</v>
      </c>
      <c r="P44" s="68">
        <f t="shared" si="10"/>
        <v>0.3911490837783469</v>
      </c>
      <c r="Q44" s="300">
        <f t="shared" si="10"/>
        <v>0.39650046603714056</v>
      </c>
      <c r="R44" s="79">
        <f t="shared" si="10"/>
        <v>0.40182131328083004</v>
      </c>
      <c r="S44" s="79">
        <f t="shared" si="10"/>
        <v>0.39791463960653989</v>
      </c>
      <c r="T44" s="79">
        <f t="shared" si="10"/>
        <v>0.39389356297326095</v>
      </c>
      <c r="U44" s="79">
        <f t="shared" si="10"/>
        <v>0.38975797991807631</v>
      </c>
      <c r="V44" s="79">
        <f t="shared" si="10"/>
        <v>0.38550806117588671</v>
      </c>
      <c r="W44" s="79">
        <f t="shared" si="10"/>
        <v>0.38114426657074879</v>
      </c>
      <c r="X44" s="79">
        <f t="shared" si="10"/>
        <v>0.37666735904888732</v>
      </c>
      <c r="Y44" s="79">
        <f t="shared" si="10"/>
        <v>0.37207841765979788</v>
      </c>
      <c r="Z44" s="79">
        <f t="shared" si="10"/>
        <v>0.36737884928787512</v>
      </c>
      <c r="AA44" s="168">
        <f t="shared" si="10"/>
        <v>0.36257039893577353</v>
      </c>
      <c r="AB44" s="175"/>
      <c r="AC44" s="175"/>
      <c r="AD44" s="175"/>
      <c r="AE44" s="175"/>
      <c r="AF44" s="175"/>
      <c r="AG44" s="175"/>
      <c r="AH44" s="175"/>
      <c r="AI44" s="175"/>
      <c r="AJ44" s="175"/>
      <c r="AK44" s="175"/>
      <c r="AL44" s="175"/>
      <c r="AM44" s="175"/>
      <c r="AN44" s="175"/>
      <c r="AO44" s="175"/>
      <c r="AP44" s="175"/>
      <c r="AQ44" s="175"/>
      <c r="AR44" s="175"/>
      <c r="AS44" s="175"/>
      <c r="AT44" s="175"/>
      <c r="AU44" s="175"/>
      <c r="AV44" s="175"/>
      <c r="AW44" s="175"/>
      <c r="AX44" s="175"/>
      <c r="AY44" s="175"/>
      <c r="AZ44" s="175"/>
      <c r="BA44" s="175"/>
      <c r="BB44" s="175"/>
      <c r="BC44" s="175"/>
      <c r="BD44" s="175"/>
      <c r="BE44" s="175"/>
      <c r="BF44" s="175"/>
      <c r="BG44" s="204"/>
      <c r="BH44" s="204"/>
      <c r="BI44" s="204"/>
      <c r="BJ44" s="204"/>
      <c r="BK44" s="204"/>
      <c r="BL44" s="204"/>
      <c r="BM44" s="204"/>
      <c r="BN44" s="204"/>
      <c r="BO44" s="204"/>
      <c r="BP44" s="204"/>
      <c r="BQ44" s="204"/>
      <c r="BR44" s="204"/>
      <c r="BS44" s="204"/>
      <c r="BT44" s="204"/>
      <c r="BU44" s="204"/>
      <c r="BV44" s="204"/>
      <c r="BW44" s="204"/>
      <c r="BX44" s="204"/>
      <c r="BY44" s="204"/>
      <c r="BZ44" s="204"/>
      <c r="CA44" s="204"/>
      <c r="CB44" s="204"/>
      <c r="CC44" s="204"/>
      <c r="CD44" s="204"/>
      <c r="CE44" s="204"/>
      <c r="CF44" s="204"/>
      <c r="CG44" s="204"/>
      <c r="CH44" s="204"/>
      <c r="CI44" s="204"/>
      <c r="CJ44" s="204"/>
      <c r="CK44" s="204"/>
      <c r="CL44" s="204"/>
      <c r="CM44" s="204"/>
      <c r="CN44" s="204"/>
      <c r="CO44" s="204"/>
      <c r="CP44" s="204"/>
      <c r="CQ44" s="204"/>
      <c r="CR44" s="204"/>
      <c r="CS44" s="204"/>
      <c r="CT44" s="204"/>
      <c r="CU44" s="204"/>
      <c r="CV44" s="204"/>
      <c r="CW44" s="204"/>
      <c r="CX44" s="204"/>
      <c r="CY44" s="204"/>
      <c r="CZ44" s="204"/>
      <c r="DA44" s="204"/>
      <c r="DB44" s="204"/>
      <c r="DC44" s="204"/>
      <c r="DD44" s="204"/>
    </row>
    <row r="45" spans="1:108" s="4" customFormat="1">
      <c r="A45" s="33"/>
      <c r="B45" s="167" t="s">
        <v>90</v>
      </c>
      <c r="C45" s="71"/>
      <c r="D45" s="78"/>
      <c r="E45" s="80">
        <f t="shared" ref="E45:AA45" si="11">+E92+E93</f>
        <v>5677.3836232301601</v>
      </c>
      <c r="F45" s="80">
        <f t="shared" si="11"/>
        <v>21658.360499285358</v>
      </c>
      <c r="G45" s="80">
        <f t="shared" si="11"/>
        <v>26289.582431629708</v>
      </c>
      <c r="H45" s="80">
        <f t="shared" si="11"/>
        <v>26289.582431629708</v>
      </c>
      <c r="I45" s="80">
        <f t="shared" si="11"/>
        <v>23660.624188466736</v>
      </c>
      <c r="J45" s="80">
        <f t="shared" si="11"/>
        <v>21031.665945303765</v>
      </c>
      <c r="K45" s="80">
        <f t="shared" si="11"/>
        <v>18402.707702140793</v>
      </c>
      <c r="L45" s="80">
        <f t="shared" si="11"/>
        <v>15773.749458977822</v>
      </c>
      <c r="M45" s="80">
        <f t="shared" si="11"/>
        <v>13144.79121581485</v>
      </c>
      <c r="N45" s="80">
        <f t="shared" si="11"/>
        <v>10515.832972651879</v>
      </c>
      <c r="O45" s="80">
        <f t="shared" si="11"/>
        <v>7886.8747294889081</v>
      </c>
      <c r="P45" s="80">
        <f t="shared" si="11"/>
        <v>5257.9164863259375</v>
      </c>
      <c r="Q45" s="80">
        <f t="shared" si="11"/>
        <v>2628.9582431629669</v>
      </c>
      <c r="R45" s="80">
        <f t="shared" si="11"/>
        <v>0</v>
      </c>
      <c r="S45" s="80">
        <f t="shared" si="11"/>
        <v>0</v>
      </c>
      <c r="T45" s="80">
        <f t="shared" si="11"/>
        <v>0</v>
      </c>
      <c r="U45" s="80">
        <f t="shared" si="11"/>
        <v>0</v>
      </c>
      <c r="V45" s="80">
        <f t="shared" si="11"/>
        <v>0</v>
      </c>
      <c r="W45" s="80">
        <f t="shared" si="11"/>
        <v>0</v>
      </c>
      <c r="X45" s="80">
        <f t="shared" si="11"/>
        <v>0</v>
      </c>
      <c r="Y45" s="80">
        <f t="shared" si="11"/>
        <v>0</v>
      </c>
      <c r="Z45" s="80">
        <f t="shared" si="11"/>
        <v>0</v>
      </c>
      <c r="AA45" s="170">
        <f t="shared" si="11"/>
        <v>0</v>
      </c>
      <c r="AB45" s="175"/>
      <c r="AC45" s="175"/>
      <c r="AD45" s="175"/>
      <c r="AE45" s="175"/>
      <c r="AF45" s="175"/>
      <c r="AG45" s="175"/>
      <c r="AH45" s="175"/>
      <c r="AI45" s="175"/>
      <c r="AJ45" s="175"/>
      <c r="AK45" s="175"/>
      <c r="AL45" s="175"/>
      <c r="AM45" s="175"/>
      <c r="AN45" s="175"/>
      <c r="AO45" s="175"/>
      <c r="AP45" s="175"/>
      <c r="AQ45" s="175"/>
      <c r="AR45" s="175"/>
      <c r="AS45" s="175"/>
      <c r="AT45" s="175"/>
      <c r="AU45" s="175"/>
      <c r="AV45" s="175"/>
      <c r="AW45" s="175"/>
      <c r="AX45" s="175"/>
      <c r="AY45" s="175"/>
      <c r="AZ45" s="175"/>
      <c r="BA45" s="175"/>
      <c r="BB45" s="175"/>
      <c r="BC45" s="175"/>
      <c r="BD45" s="175"/>
      <c r="BE45" s="175"/>
      <c r="BF45" s="175"/>
      <c r="BG45" s="204"/>
      <c r="BH45" s="204"/>
      <c r="BI45" s="204"/>
      <c r="BJ45" s="204"/>
      <c r="BK45" s="204"/>
      <c r="BL45" s="204"/>
      <c r="BM45" s="204"/>
      <c r="BN45" s="204"/>
      <c r="BO45" s="204"/>
      <c r="BP45" s="204"/>
      <c r="BQ45" s="204"/>
      <c r="BR45" s="204"/>
      <c r="BS45" s="204"/>
      <c r="BT45" s="204"/>
      <c r="BU45" s="204"/>
      <c r="BV45" s="204"/>
      <c r="BW45" s="204"/>
      <c r="BX45" s="204"/>
      <c r="BY45" s="204"/>
      <c r="BZ45" s="204"/>
      <c r="CA45" s="204"/>
      <c r="CB45" s="204"/>
      <c r="CC45" s="204"/>
      <c r="CD45" s="204"/>
      <c r="CE45" s="204"/>
      <c r="CF45" s="204"/>
      <c r="CG45" s="204"/>
      <c r="CH45" s="204"/>
      <c r="CI45" s="204"/>
      <c r="CJ45" s="204"/>
      <c r="CK45" s="204"/>
      <c r="CL45" s="204"/>
      <c r="CM45" s="204"/>
      <c r="CN45" s="204"/>
      <c r="CO45" s="204"/>
      <c r="CP45" s="204"/>
      <c r="CQ45" s="204"/>
      <c r="CR45" s="204"/>
      <c r="CS45" s="204"/>
      <c r="CT45" s="204"/>
      <c r="CU45" s="204"/>
      <c r="CV45" s="204"/>
      <c r="CW45" s="204"/>
      <c r="CX45" s="204"/>
      <c r="CY45" s="204"/>
      <c r="CZ45" s="204"/>
      <c r="DA45" s="204"/>
      <c r="DB45" s="204"/>
      <c r="DC45" s="204"/>
      <c r="DD45" s="204"/>
    </row>
    <row r="46" spans="1:108" s="327" customFormat="1">
      <c r="A46" s="34"/>
      <c r="B46" s="423" t="s">
        <v>137</v>
      </c>
      <c r="C46" s="201"/>
      <c r="D46" s="196"/>
      <c r="E46" s="196"/>
      <c r="F46" s="196"/>
      <c r="G46" s="197"/>
      <c r="H46" s="202">
        <f>+H45/H47</f>
        <v>0.19767441860465113</v>
      </c>
      <c r="I46" s="202">
        <f t="shared" ref="I46:Q46" si="12">+I45/I47</f>
        <v>0.1805309734513274</v>
      </c>
      <c r="J46" s="202">
        <f t="shared" si="12"/>
        <v>0.16283037504863959</v>
      </c>
      <c r="K46" s="202">
        <f t="shared" si="12"/>
        <v>0.1445602377347775</v>
      </c>
      <c r="L46" s="202">
        <f t="shared" si="12"/>
        <v>0.12570933921024491</v>
      </c>
      <c r="M46" s="202">
        <f t="shared" si="12"/>
        <v>0.10626788745913475</v>
      </c>
      <c r="N46" s="202">
        <f t="shared" si="12"/>
        <v>8.6227818641361795E-2</v>
      </c>
      <c r="O46" s="202">
        <f t="shared" si="12"/>
        <v>6.5583127267638708E-2</v>
      </c>
      <c r="P46" s="202">
        <f t="shared" si="12"/>
        <v>4.4330229494879282E-2</v>
      </c>
      <c r="Q46" s="202">
        <f t="shared" si="12"/>
        <v>2.24683597421046E-2</v>
      </c>
      <c r="R46" s="202">
        <f t="shared" ref="R46:AA46" si="13">+R45/R47</f>
        <v>0</v>
      </c>
      <c r="S46" s="202">
        <f t="shared" si="13"/>
        <v>0</v>
      </c>
      <c r="T46" s="202">
        <f t="shared" si="13"/>
        <v>0</v>
      </c>
      <c r="U46" s="202">
        <f t="shared" si="13"/>
        <v>0</v>
      </c>
      <c r="V46" s="202">
        <f t="shared" si="13"/>
        <v>0</v>
      </c>
      <c r="W46" s="202">
        <f t="shared" si="13"/>
        <v>0</v>
      </c>
      <c r="X46" s="202">
        <f t="shared" si="13"/>
        <v>0</v>
      </c>
      <c r="Y46" s="202">
        <f t="shared" si="13"/>
        <v>0</v>
      </c>
      <c r="Z46" s="202">
        <f t="shared" si="13"/>
        <v>0</v>
      </c>
      <c r="AA46" s="203">
        <f t="shared" si="13"/>
        <v>0</v>
      </c>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6"/>
      <c r="BH46" s="206"/>
      <c r="BI46" s="206"/>
      <c r="BJ46" s="206"/>
      <c r="BK46" s="206"/>
      <c r="BL46" s="206"/>
      <c r="BM46" s="206"/>
      <c r="BN46" s="206"/>
      <c r="BO46" s="206"/>
      <c r="BP46" s="206"/>
      <c r="BQ46" s="206"/>
      <c r="BR46" s="206"/>
      <c r="BS46" s="206"/>
      <c r="BT46" s="206"/>
      <c r="BU46" s="206"/>
      <c r="BV46" s="206"/>
      <c r="BW46" s="206"/>
      <c r="BX46" s="206"/>
      <c r="BY46" s="206"/>
      <c r="BZ46" s="206"/>
      <c r="CA46" s="206"/>
      <c r="CB46" s="206"/>
      <c r="CC46" s="206"/>
      <c r="CD46" s="206"/>
      <c r="CE46" s="206"/>
      <c r="CF46" s="206"/>
      <c r="CG46" s="206"/>
      <c r="CH46" s="206"/>
      <c r="CI46" s="206"/>
      <c r="CJ46" s="206"/>
      <c r="CK46" s="206"/>
      <c r="CL46" s="206"/>
      <c r="CM46" s="206"/>
      <c r="CN46" s="206"/>
      <c r="CO46" s="206"/>
      <c r="CP46" s="206"/>
      <c r="CQ46" s="206"/>
      <c r="CR46" s="206"/>
      <c r="CS46" s="206"/>
      <c r="CT46" s="206"/>
      <c r="CU46" s="206"/>
      <c r="CV46" s="206"/>
      <c r="CW46" s="206"/>
      <c r="CX46" s="206"/>
      <c r="CY46" s="206"/>
      <c r="CZ46" s="206"/>
      <c r="DA46" s="206"/>
      <c r="DB46" s="206"/>
      <c r="DC46" s="206"/>
      <c r="DD46" s="206"/>
    </row>
    <row r="47" spans="1:108" s="789" customFormat="1" ht="15.75">
      <c r="A47" s="204"/>
      <c r="B47" s="786" t="s">
        <v>111</v>
      </c>
      <c r="C47" s="787"/>
      <c r="D47" s="788"/>
      <c r="E47" s="75">
        <f>+E45+E43+E41+E39</f>
        <v>5677.3836232301601</v>
      </c>
      <c r="F47" s="75">
        <f t="shared" ref="F47:AA47" si="14">+F45+F43+F41+F39</f>
        <v>21658.360499285358</v>
      </c>
      <c r="G47" s="75">
        <f t="shared" si="14"/>
        <v>26289.582431629708</v>
      </c>
      <c r="H47" s="75">
        <f t="shared" si="14"/>
        <v>132994.35818353854</v>
      </c>
      <c r="I47" s="75">
        <f t="shared" si="14"/>
        <v>131061.30065180105</v>
      </c>
      <c r="J47" s="75">
        <f t="shared" si="14"/>
        <v>129163.03815563483</v>
      </c>
      <c r="K47" s="75">
        <f t="shared" si="14"/>
        <v>127301.31044681848</v>
      </c>
      <c r="L47" s="75">
        <f t="shared" si="14"/>
        <v>125477.94426471944</v>
      </c>
      <c r="M47" s="75">
        <f t="shared" si="14"/>
        <v>123694.85768567359</v>
      </c>
      <c r="N47" s="75">
        <f t="shared" si="14"/>
        <v>121954.06468983363</v>
      </c>
      <c r="O47" s="75">
        <f t="shared" si="14"/>
        <v>120257.67995635979</v>
      </c>
      <c r="P47" s="75">
        <f t="shared" si="14"/>
        <v>118607.92389837041</v>
      </c>
      <c r="Q47" s="75">
        <f t="shared" si="14"/>
        <v>117007.12794963972</v>
      </c>
      <c r="R47" s="75">
        <f t="shared" si="14"/>
        <v>115457.74011563064</v>
      </c>
      <c r="S47" s="75">
        <f t="shared" si="14"/>
        <v>116591.28904524223</v>
      </c>
      <c r="T47" s="75">
        <f t="shared" si="14"/>
        <v>117781.51542133439</v>
      </c>
      <c r="U47" s="75">
        <f t="shared" si="14"/>
        <v>119031.25311623116</v>
      </c>
      <c r="V47" s="75">
        <f t="shared" si="14"/>
        <v>120343.47769587277</v>
      </c>
      <c r="W47" s="75">
        <f t="shared" si="14"/>
        <v>121721.31350449646</v>
      </c>
      <c r="X47" s="75">
        <f t="shared" si="14"/>
        <v>123168.04110355134</v>
      </c>
      <c r="Y47" s="75">
        <f t="shared" si="14"/>
        <v>124687.10508255896</v>
      </c>
      <c r="Z47" s="75">
        <f t="shared" si="14"/>
        <v>126282.12226051696</v>
      </c>
      <c r="AA47" s="496">
        <f t="shared" si="14"/>
        <v>127956.89029737285</v>
      </c>
      <c r="AB47" s="207"/>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4"/>
      <c r="BR47" s="204"/>
      <c r="BS47" s="204"/>
      <c r="BT47" s="204"/>
      <c r="BU47" s="204"/>
      <c r="BV47" s="204"/>
      <c r="BW47" s="204"/>
      <c r="BX47" s="204"/>
      <c r="BY47" s="204"/>
      <c r="BZ47" s="204"/>
      <c r="CA47" s="204"/>
      <c r="CB47" s="204"/>
      <c r="CC47" s="204"/>
      <c r="CD47" s="204"/>
      <c r="CE47" s="204"/>
      <c r="CF47" s="204"/>
      <c r="CG47" s="204"/>
      <c r="CH47" s="204"/>
      <c r="CI47" s="204"/>
      <c r="CJ47" s="204"/>
      <c r="CK47" s="204"/>
      <c r="CL47" s="204"/>
      <c r="CM47" s="204"/>
      <c r="CN47" s="204"/>
      <c r="CO47" s="204"/>
      <c r="CP47" s="204"/>
      <c r="CQ47" s="204"/>
      <c r="CR47" s="204"/>
      <c r="CS47" s="204"/>
      <c r="CT47" s="204"/>
      <c r="CU47" s="204"/>
      <c r="CV47" s="204"/>
      <c r="CW47" s="204"/>
      <c r="CX47" s="204"/>
      <c r="CY47" s="204"/>
      <c r="CZ47" s="204"/>
      <c r="DA47" s="204"/>
      <c r="DB47" s="204"/>
      <c r="DC47" s="204"/>
      <c r="DD47" s="204"/>
    </row>
    <row r="48" spans="1:108" s="794" customFormat="1" ht="22.5" customHeight="1" thickBot="1">
      <c r="A48" s="790"/>
      <c r="B48" s="1366" t="s">
        <v>417</v>
      </c>
      <c r="C48" s="1367"/>
      <c r="D48" s="791"/>
      <c r="E48" s="792">
        <f t="shared" ref="E48:AA48" si="15">+E36-E47</f>
        <v>-5677.3836232301601</v>
      </c>
      <c r="F48" s="792">
        <f t="shared" si="15"/>
        <v>-21658.360499285358</v>
      </c>
      <c r="G48" s="792">
        <f t="shared" si="15"/>
        <v>-26289.582431629708</v>
      </c>
      <c r="H48" s="792">
        <f t="shared" si="15"/>
        <v>23005.641816461459</v>
      </c>
      <c r="I48" s="792">
        <f t="shared" si="15"/>
        <v>65498.699348198948</v>
      </c>
      <c r="J48" s="792">
        <f t="shared" si="15"/>
        <v>118502.56184436515</v>
      </c>
      <c r="K48" s="792">
        <f t="shared" si="15"/>
        <v>184757.34555318148</v>
      </c>
      <c r="L48" s="792">
        <f t="shared" si="15"/>
        <v>253760.00573528052</v>
      </c>
      <c r="M48" s="792">
        <f t="shared" si="15"/>
        <v>274504.98981432646</v>
      </c>
      <c r="N48" s="792">
        <f t="shared" si="15"/>
        <v>296155.77518516633</v>
      </c>
      <c r="O48" s="792">
        <f t="shared" si="15"/>
        <v>318757.65191239014</v>
      </c>
      <c r="P48" s="792">
        <f t="shared" si="15"/>
        <v>342358.1745638171</v>
      </c>
      <c r="Q48" s="792">
        <f t="shared" si="15"/>
        <v>367007.27543565712</v>
      </c>
      <c r="R48" s="792">
        <f t="shared" si="15"/>
        <v>392757.38343893108</v>
      </c>
      <c r="S48" s="792">
        <f t="shared" si="15"/>
        <v>417034.59068704757</v>
      </c>
      <c r="T48" s="792">
        <f t="shared" si="15"/>
        <v>442525.65829756984</v>
      </c>
      <c r="U48" s="792">
        <f t="shared" si="15"/>
        <v>469291.27928861836</v>
      </c>
      <c r="V48" s="792">
        <f t="shared" si="15"/>
        <v>497395.18132921925</v>
      </c>
      <c r="W48" s="792">
        <f t="shared" si="15"/>
        <v>526904.27847184998</v>
      </c>
      <c r="X48" s="792">
        <f t="shared" si="15"/>
        <v>557888.83047161251</v>
      </c>
      <c r="Y48" s="792">
        <f t="shared" si="15"/>
        <v>590422.61007136316</v>
      </c>
      <c r="Z48" s="792">
        <f t="shared" si="15"/>
        <v>624583.07865110133</v>
      </c>
      <c r="AA48" s="793">
        <f t="shared" si="15"/>
        <v>660451.57065982639</v>
      </c>
      <c r="AB48" s="790"/>
      <c r="AC48" s="790"/>
      <c r="AD48" s="790"/>
      <c r="AE48" s="790"/>
      <c r="AF48" s="790"/>
      <c r="AG48" s="790"/>
      <c r="AH48" s="790"/>
      <c r="AI48" s="790"/>
      <c r="AJ48" s="790"/>
      <c r="AK48" s="790"/>
      <c r="AL48" s="790"/>
      <c r="AM48" s="790"/>
      <c r="AN48" s="790"/>
      <c r="AO48" s="790"/>
      <c r="AP48" s="790"/>
      <c r="AQ48" s="790"/>
      <c r="AR48" s="790"/>
      <c r="AS48" s="790"/>
      <c r="AT48" s="790"/>
      <c r="AU48" s="790"/>
      <c r="AV48" s="790"/>
      <c r="AW48" s="790"/>
      <c r="AX48" s="790"/>
      <c r="AY48" s="790"/>
      <c r="AZ48" s="790"/>
      <c r="BA48" s="790"/>
      <c r="BB48" s="790"/>
      <c r="BC48" s="790"/>
      <c r="BD48" s="790"/>
      <c r="BE48" s="790"/>
      <c r="BF48" s="790"/>
      <c r="BG48" s="790"/>
      <c r="BH48" s="790"/>
      <c r="BI48" s="790"/>
      <c r="BJ48" s="790"/>
      <c r="BK48" s="790"/>
      <c r="BL48" s="790"/>
      <c r="BM48" s="790"/>
      <c r="BN48" s="790"/>
      <c r="BO48" s="790"/>
      <c r="BP48" s="790"/>
      <c r="BQ48" s="790"/>
      <c r="BR48" s="790"/>
      <c r="BS48" s="790"/>
      <c r="BT48" s="790"/>
      <c r="BU48" s="790"/>
      <c r="BV48" s="790"/>
      <c r="BW48" s="790"/>
      <c r="BX48" s="790"/>
      <c r="BY48" s="790"/>
      <c r="BZ48" s="790"/>
      <c r="CA48" s="790"/>
      <c r="CB48" s="790"/>
      <c r="CC48" s="790"/>
      <c r="CD48" s="790"/>
      <c r="CE48" s="790"/>
      <c r="CF48" s="790"/>
      <c r="CG48" s="790"/>
      <c r="CH48" s="790"/>
      <c r="CI48" s="790"/>
      <c r="CJ48" s="790"/>
      <c r="CK48" s="790"/>
      <c r="CL48" s="790"/>
      <c r="CM48" s="790"/>
      <c r="CN48" s="790"/>
      <c r="CO48" s="790"/>
      <c r="CP48" s="790"/>
      <c r="CQ48" s="790"/>
      <c r="CR48" s="790"/>
      <c r="CS48" s="790"/>
      <c r="CT48" s="790"/>
      <c r="CU48" s="790"/>
      <c r="CV48" s="790"/>
      <c r="CW48" s="790"/>
      <c r="CX48" s="790"/>
      <c r="CY48" s="790"/>
      <c r="CZ48" s="790"/>
      <c r="DA48" s="790"/>
      <c r="DB48" s="790"/>
      <c r="DC48" s="790"/>
      <c r="DD48" s="790"/>
    </row>
    <row r="49" spans="1:28" s="4" customFormat="1" ht="15.75" thickBot="1">
      <c r="A49" s="154"/>
      <c r="B49" s="155"/>
      <c r="C49" s="18"/>
      <c r="D49" s="128"/>
      <c r="E49" s="128"/>
      <c r="F49" s="128"/>
      <c r="G49" s="156"/>
      <c r="H49" s="301"/>
      <c r="I49" s="301"/>
      <c r="J49" s="301"/>
      <c r="K49" s="301"/>
      <c r="L49" s="301"/>
      <c r="M49" s="301"/>
      <c r="N49" s="301"/>
      <c r="O49" s="301"/>
      <c r="P49" s="301"/>
      <c r="Q49" s="301"/>
      <c r="R49" s="301"/>
      <c r="S49" s="301"/>
      <c r="T49" s="301"/>
      <c r="U49" s="301"/>
      <c r="V49" s="301"/>
      <c r="W49" s="301"/>
      <c r="X49" s="301"/>
      <c r="Y49" s="301"/>
      <c r="Z49" s="301"/>
      <c r="AA49" s="301"/>
    </row>
    <row r="50" spans="1:28" s="136" customFormat="1">
      <c r="B50" s="1362" t="s">
        <v>115</v>
      </c>
      <c r="C50" s="1364"/>
      <c r="D50" s="1389"/>
      <c r="E50" s="1391">
        <f>+'3-DONNEES DE BASE'!E110</f>
        <v>2020</v>
      </c>
      <c r="F50" s="1356">
        <f>+'3-DONNEES DE BASE'!E111</f>
        <v>2021</v>
      </c>
      <c r="G50" s="1364">
        <f>+'3-DONNEES DE BASE'!E112</f>
        <v>2022</v>
      </c>
      <c r="H50" s="1356">
        <v>2023</v>
      </c>
      <c r="I50" s="1358">
        <f t="shared" ref="I50:AA50" si="16">+H50+1</f>
        <v>2024</v>
      </c>
      <c r="J50" s="1358">
        <f t="shared" si="16"/>
        <v>2025</v>
      </c>
      <c r="K50" s="1358">
        <f t="shared" si="16"/>
        <v>2026</v>
      </c>
      <c r="L50" s="1358">
        <f t="shared" si="16"/>
        <v>2027</v>
      </c>
      <c r="M50" s="1358">
        <f t="shared" si="16"/>
        <v>2028</v>
      </c>
      <c r="N50" s="1358">
        <f t="shared" si="16"/>
        <v>2029</v>
      </c>
      <c r="O50" s="1358">
        <f t="shared" si="16"/>
        <v>2030</v>
      </c>
      <c r="P50" s="1358">
        <f t="shared" si="16"/>
        <v>2031</v>
      </c>
      <c r="Q50" s="1358">
        <f t="shared" si="16"/>
        <v>2032</v>
      </c>
      <c r="R50" s="1358">
        <f t="shared" si="16"/>
        <v>2033</v>
      </c>
      <c r="S50" s="1358">
        <f t="shared" si="16"/>
        <v>2034</v>
      </c>
      <c r="T50" s="1358">
        <f t="shared" si="16"/>
        <v>2035</v>
      </c>
      <c r="U50" s="1358">
        <f t="shared" si="16"/>
        <v>2036</v>
      </c>
      <c r="V50" s="1358">
        <f t="shared" si="16"/>
        <v>2037</v>
      </c>
      <c r="W50" s="1358">
        <f t="shared" si="16"/>
        <v>2038</v>
      </c>
      <c r="X50" s="1358">
        <f t="shared" si="16"/>
        <v>2039</v>
      </c>
      <c r="Y50" s="1358">
        <f t="shared" si="16"/>
        <v>2040</v>
      </c>
      <c r="Z50" s="1358">
        <f t="shared" si="16"/>
        <v>2041</v>
      </c>
      <c r="AA50" s="1368">
        <f t="shared" si="16"/>
        <v>2042</v>
      </c>
    </row>
    <row r="51" spans="1:28" s="51" customFormat="1">
      <c r="B51" s="1363"/>
      <c r="C51" s="1365"/>
      <c r="D51" s="1390"/>
      <c r="E51" s="1392"/>
      <c r="F51" s="1357"/>
      <c r="G51" s="1365"/>
      <c r="H51" s="1357"/>
      <c r="I51" s="1359"/>
      <c r="J51" s="1359"/>
      <c r="K51" s="1359"/>
      <c r="L51" s="1359"/>
      <c r="M51" s="1359"/>
      <c r="N51" s="1359"/>
      <c r="O51" s="1359"/>
      <c r="P51" s="1359"/>
      <c r="Q51" s="1359"/>
      <c r="R51" s="1359"/>
      <c r="S51" s="1359"/>
      <c r="T51" s="1359"/>
      <c r="U51" s="1359"/>
      <c r="V51" s="1359"/>
      <c r="W51" s="1359"/>
      <c r="X51" s="1359"/>
      <c r="Y51" s="1359"/>
      <c r="Z51" s="1359"/>
      <c r="AA51" s="1369"/>
    </row>
    <row r="52" spans="1:28" s="4" customFormat="1">
      <c r="A52" s="33"/>
      <c r="B52" s="76" t="s">
        <v>103</v>
      </c>
      <c r="C52" s="73"/>
      <c r="D52" s="48"/>
      <c r="E52" s="69"/>
      <c r="F52" s="67"/>
      <c r="G52" s="72"/>
      <c r="H52" s="294"/>
      <c r="I52" s="48"/>
      <c r="J52" s="48"/>
      <c r="K52" s="48"/>
      <c r="L52" s="48"/>
      <c r="M52" s="48"/>
      <c r="N52" s="48"/>
      <c r="O52" s="48"/>
      <c r="P52" s="69"/>
      <c r="Q52" s="74"/>
      <c r="R52" s="48"/>
      <c r="S52" s="48"/>
      <c r="T52" s="48"/>
      <c r="U52" s="48"/>
      <c r="V52" s="48"/>
      <c r="W52" s="48"/>
      <c r="X52" s="48"/>
      <c r="Y52" s="48"/>
      <c r="Z52" s="48"/>
      <c r="AA52" s="495"/>
    </row>
    <row r="53" spans="1:28" s="4" customFormat="1">
      <c r="A53" s="33"/>
      <c r="B53" s="312" t="s">
        <v>334</v>
      </c>
      <c r="C53" s="73"/>
      <c r="D53" s="48"/>
      <c r="E53" s="69">
        <f>+E26</f>
        <v>333963.74254295055</v>
      </c>
      <c r="F53" s="69">
        <f>+F26</f>
        <v>940057.46329736453</v>
      </c>
      <c r="G53" s="69">
        <f>+G26</f>
        <v>272424.81954966765</v>
      </c>
      <c r="H53" s="69"/>
      <c r="I53" s="69"/>
      <c r="J53" s="69"/>
      <c r="K53" s="69"/>
      <c r="L53" s="69"/>
      <c r="M53" s="69"/>
      <c r="N53" s="69"/>
      <c r="O53" s="69"/>
      <c r="P53" s="69"/>
      <c r="Q53" s="82"/>
      <c r="R53" s="69"/>
      <c r="S53" s="69"/>
      <c r="T53" s="69"/>
      <c r="U53" s="69"/>
      <c r="V53" s="69"/>
      <c r="W53" s="69"/>
      <c r="X53" s="69"/>
      <c r="Y53" s="69"/>
      <c r="Z53" s="69"/>
      <c r="AA53" s="137"/>
    </row>
    <row r="54" spans="1:28" s="183" customFormat="1" ht="30">
      <c r="A54" s="34"/>
      <c r="B54" s="313" t="s">
        <v>325</v>
      </c>
      <c r="C54" s="230"/>
      <c r="D54" s="231"/>
      <c r="E54" s="387"/>
      <c r="F54" s="387"/>
      <c r="G54" s="387"/>
      <c r="H54" s="387">
        <v>0</v>
      </c>
      <c r="I54" s="387">
        <f t="shared" ref="I54:AA54" si="17">+I27</f>
        <v>0</v>
      </c>
      <c r="J54" s="387">
        <f t="shared" si="17"/>
        <v>0</v>
      </c>
      <c r="K54" s="387">
        <f t="shared" si="17"/>
        <v>0</v>
      </c>
      <c r="L54" s="387">
        <f t="shared" si="17"/>
        <v>0</v>
      </c>
      <c r="M54" s="387">
        <f t="shared" si="17"/>
        <v>0</v>
      </c>
      <c r="N54" s="387">
        <f t="shared" si="17"/>
        <v>0</v>
      </c>
      <c r="O54" s="387">
        <f t="shared" si="17"/>
        <v>0</v>
      </c>
      <c r="P54" s="387">
        <f t="shared" si="17"/>
        <v>0</v>
      </c>
      <c r="Q54" s="296">
        <f t="shared" si="17"/>
        <v>83860.382071073196</v>
      </c>
      <c r="R54" s="387">
        <f t="shared" si="17"/>
        <v>0</v>
      </c>
      <c r="S54" s="387">
        <f t="shared" si="17"/>
        <v>0</v>
      </c>
      <c r="T54" s="387">
        <f t="shared" si="17"/>
        <v>0</v>
      </c>
      <c r="U54" s="387">
        <f t="shared" si="17"/>
        <v>0</v>
      </c>
      <c r="V54" s="387">
        <f t="shared" si="17"/>
        <v>0</v>
      </c>
      <c r="W54" s="387">
        <f t="shared" si="17"/>
        <v>0</v>
      </c>
      <c r="X54" s="387">
        <f t="shared" si="17"/>
        <v>0</v>
      </c>
      <c r="Y54" s="387">
        <f t="shared" si="17"/>
        <v>0</v>
      </c>
      <c r="Z54" s="387">
        <f t="shared" si="17"/>
        <v>0</v>
      </c>
      <c r="AA54" s="482">
        <f t="shared" si="17"/>
        <v>0</v>
      </c>
    </row>
    <row r="55" spans="1:28" s="327" customFormat="1" ht="45">
      <c r="A55" s="34"/>
      <c r="B55" s="313" t="s">
        <v>326</v>
      </c>
      <c r="C55" s="230"/>
      <c r="D55" s="231"/>
      <c r="E55" s="387"/>
      <c r="F55" s="387"/>
      <c r="G55" s="387"/>
      <c r="H55" s="387">
        <f>+H28</f>
        <v>0</v>
      </c>
      <c r="I55" s="387">
        <f t="shared" ref="I55:AA55" si="18">+I28</f>
        <v>0</v>
      </c>
      <c r="J55" s="387">
        <f t="shared" si="18"/>
        <v>0</v>
      </c>
      <c r="K55" s="387">
        <f t="shared" si="18"/>
        <v>0</v>
      </c>
      <c r="L55" s="387">
        <f t="shared" si="18"/>
        <v>49153.220750319997</v>
      </c>
      <c r="M55" s="387">
        <f t="shared" si="18"/>
        <v>0</v>
      </c>
      <c r="N55" s="387">
        <f t="shared" si="18"/>
        <v>0</v>
      </c>
      <c r="O55" s="387">
        <f t="shared" si="18"/>
        <v>0</v>
      </c>
      <c r="P55" s="387">
        <f t="shared" si="18"/>
        <v>0</v>
      </c>
      <c r="Q55" s="296">
        <f t="shared" si="18"/>
        <v>56982.054484190761</v>
      </c>
      <c r="R55" s="387">
        <f t="shared" si="18"/>
        <v>0</v>
      </c>
      <c r="S55" s="387">
        <f t="shared" si="18"/>
        <v>0</v>
      </c>
      <c r="T55" s="387">
        <f t="shared" si="18"/>
        <v>0</v>
      </c>
      <c r="U55" s="387">
        <f t="shared" si="18"/>
        <v>0</v>
      </c>
      <c r="V55" s="387">
        <f t="shared" si="18"/>
        <v>66057.818463872405</v>
      </c>
      <c r="W55" s="387">
        <f t="shared" si="18"/>
        <v>0</v>
      </c>
      <c r="X55" s="387">
        <f t="shared" si="18"/>
        <v>0</v>
      </c>
      <c r="Y55" s="387">
        <f t="shared" si="18"/>
        <v>0</v>
      </c>
      <c r="Z55" s="387">
        <f t="shared" si="18"/>
        <v>0</v>
      </c>
      <c r="AA55" s="482">
        <f t="shared" si="18"/>
        <v>0</v>
      </c>
    </row>
    <row r="56" spans="1:28" s="159" customFormat="1">
      <c r="B56" s="314" t="s">
        <v>92</v>
      </c>
      <c r="C56" s="82"/>
      <c r="D56" s="82"/>
      <c r="E56" s="82"/>
      <c r="F56" s="82"/>
      <c r="G56" s="228"/>
      <c r="H56" s="82">
        <f>H94</f>
        <v>0</v>
      </c>
      <c r="I56" s="82">
        <f t="shared" ref="I56:Q56" si="19">+I94</f>
        <v>30928.920507799652</v>
      </c>
      <c r="J56" s="82">
        <f t="shared" si="19"/>
        <v>30928.920507799652</v>
      </c>
      <c r="K56" s="82">
        <f t="shared" si="19"/>
        <v>30928.920507799652</v>
      </c>
      <c r="L56" s="82">
        <f t="shared" si="19"/>
        <v>30928.920507799652</v>
      </c>
      <c r="M56" s="82">
        <f t="shared" si="19"/>
        <v>30928.920507799652</v>
      </c>
      <c r="N56" s="82">
        <f t="shared" si="19"/>
        <v>30928.920507799652</v>
      </c>
      <c r="O56" s="82">
        <f t="shared" si="19"/>
        <v>30928.920507799652</v>
      </c>
      <c r="P56" s="82">
        <f t="shared" si="19"/>
        <v>30928.920507799652</v>
      </c>
      <c r="Q56" s="82">
        <f t="shared" si="19"/>
        <v>30928.920507799652</v>
      </c>
      <c r="R56" s="228">
        <f>+R94</f>
        <v>30928.920507799652</v>
      </c>
      <c r="S56" s="228"/>
      <c r="T56" s="228"/>
      <c r="U56" s="228"/>
      <c r="V56" s="228"/>
      <c r="W56" s="228"/>
      <c r="X56" s="228"/>
      <c r="Y56" s="228"/>
      <c r="Z56" s="228"/>
      <c r="AA56" s="459"/>
    </row>
    <row r="57" spans="1:28" s="4" customFormat="1">
      <c r="A57" s="33"/>
      <c r="B57" s="312" t="s">
        <v>187</v>
      </c>
      <c r="C57" s="74"/>
      <c r="D57" s="48"/>
      <c r="E57" s="69"/>
      <c r="F57" s="67"/>
      <c r="G57" s="72"/>
      <c r="H57" s="297">
        <f>+H95</f>
        <v>0</v>
      </c>
      <c r="I57" s="297">
        <f t="shared" ref="I57:AA57" si="20">+I95</f>
        <v>0</v>
      </c>
      <c r="J57" s="297">
        <f t="shared" si="20"/>
        <v>0</v>
      </c>
      <c r="K57" s="297">
        <f t="shared" si="20"/>
        <v>0</v>
      </c>
      <c r="L57" s="297">
        <f t="shared" si="20"/>
        <v>0</v>
      </c>
      <c r="M57" s="297">
        <f t="shared" si="20"/>
        <v>0</v>
      </c>
      <c r="N57" s="297">
        <f t="shared" si="20"/>
        <v>0</v>
      </c>
      <c r="O57" s="297">
        <f t="shared" si="20"/>
        <v>0</v>
      </c>
      <c r="P57" s="297">
        <f t="shared" si="20"/>
        <v>0</v>
      </c>
      <c r="Q57" s="297">
        <f t="shared" si="20"/>
        <v>0</v>
      </c>
      <c r="R57" s="297">
        <f t="shared" si="20"/>
        <v>0</v>
      </c>
      <c r="S57" s="297">
        <f t="shared" si="20"/>
        <v>0</v>
      </c>
      <c r="T57" s="297">
        <f t="shared" si="20"/>
        <v>0</v>
      </c>
      <c r="U57" s="297">
        <f t="shared" si="20"/>
        <v>0</v>
      </c>
      <c r="V57" s="297">
        <f t="shared" si="20"/>
        <v>0</v>
      </c>
      <c r="W57" s="297">
        <f t="shared" si="20"/>
        <v>0</v>
      </c>
      <c r="X57" s="297">
        <f t="shared" si="20"/>
        <v>0</v>
      </c>
      <c r="Y57" s="297">
        <f t="shared" si="20"/>
        <v>0</v>
      </c>
      <c r="Z57" s="297">
        <f t="shared" si="20"/>
        <v>0</v>
      </c>
      <c r="AA57" s="297">
        <f t="shared" si="20"/>
        <v>0</v>
      </c>
    </row>
    <row r="58" spans="1:28" s="204" customFormat="1">
      <c r="B58" s="795" t="s">
        <v>207</v>
      </c>
      <c r="C58" s="89"/>
      <c r="D58" s="89"/>
      <c r="E58" s="75">
        <f>++E57+E56+E55+E53</f>
        <v>333963.74254295055</v>
      </c>
      <c r="F58" s="75">
        <f t="shared" ref="F58:P58" si="21">++F57+F56+F55+F53</f>
        <v>940057.46329736453</v>
      </c>
      <c r="G58" s="75">
        <f t="shared" si="21"/>
        <v>272424.81954966765</v>
      </c>
      <c r="H58" s="75">
        <f t="shared" si="21"/>
        <v>0</v>
      </c>
      <c r="I58" s="75">
        <f t="shared" si="21"/>
        <v>30928.920507799652</v>
      </c>
      <c r="J58" s="75">
        <f t="shared" si="21"/>
        <v>30928.920507799652</v>
      </c>
      <c r="K58" s="75">
        <f t="shared" si="21"/>
        <v>30928.920507799652</v>
      </c>
      <c r="L58" s="75">
        <f t="shared" si="21"/>
        <v>80082.141258119649</v>
      </c>
      <c r="M58" s="75">
        <f t="shared" si="21"/>
        <v>30928.920507799652</v>
      </c>
      <c r="N58" s="75">
        <f t="shared" si="21"/>
        <v>30928.920507799652</v>
      </c>
      <c r="O58" s="75">
        <f t="shared" si="21"/>
        <v>30928.920507799652</v>
      </c>
      <c r="P58" s="75">
        <f t="shared" si="21"/>
        <v>30928.920507799652</v>
      </c>
      <c r="Q58" s="75">
        <f>+Q57+Q56+Q55+Q53-Q55</f>
        <v>30928.920507799652</v>
      </c>
      <c r="R58" s="75">
        <f>+R57+R56+R55+R53-R55</f>
        <v>30928.920507799652</v>
      </c>
      <c r="S58" s="75"/>
      <c r="T58" s="75"/>
      <c r="U58" s="75"/>
      <c r="V58" s="75"/>
      <c r="W58" s="75"/>
      <c r="X58" s="75"/>
      <c r="Y58" s="75"/>
      <c r="Z58" s="75"/>
      <c r="AA58" s="496"/>
      <c r="AB58" s="421"/>
    </row>
    <row r="59" spans="1:28" s="94" customFormat="1">
      <c r="B59" s="795" t="s">
        <v>208</v>
      </c>
      <c r="C59" s="89"/>
      <c r="D59" s="796"/>
      <c r="E59" s="797">
        <f>+E57+E56+E55+E54+E53</f>
        <v>333963.74254295055</v>
      </c>
      <c r="F59" s="797">
        <f t="shared" ref="F59:AA59" si="22">+F57+F56+F55+F54+F53</f>
        <v>940057.46329736453</v>
      </c>
      <c r="G59" s="797">
        <f t="shared" si="22"/>
        <v>272424.81954966765</v>
      </c>
      <c r="H59" s="797">
        <f t="shared" si="22"/>
        <v>0</v>
      </c>
      <c r="I59" s="797">
        <f t="shared" si="22"/>
        <v>30928.920507799652</v>
      </c>
      <c r="J59" s="797">
        <f t="shared" si="22"/>
        <v>30928.920507799652</v>
      </c>
      <c r="K59" s="797">
        <f t="shared" si="22"/>
        <v>30928.920507799652</v>
      </c>
      <c r="L59" s="797">
        <f t="shared" si="22"/>
        <v>80082.141258119649</v>
      </c>
      <c r="M59" s="797">
        <f t="shared" si="22"/>
        <v>30928.920507799652</v>
      </c>
      <c r="N59" s="797">
        <f t="shared" si="22"/>
        <v>30928.920507799652</v>
      </c>
      <c r="O59" s="797">
        <f t="shared" si="22"/>
        <v>30928.920507799652</v>
      </c>
      <c r="P59" s="797">
        <f t="shared" si="22"/>
        <v>30928.920507799652</v>
      </c>
      <c r="Q59" s="797">
        <f t="shared" si="22"/>
        <v>171771.35706306359</v>
      </c>
      <c r="R59" s="797">
        <f t="shared" si="22"/>
        <v>30928.920507799652</v>
      </c>
      <c r="S59" s="797">
        <f t="shared" si="22"/>
        <v>0</v>
      </c>
      <c r="T59" s="797">
        <f t="shared" si="22"/>
        <v>0</v>
      </c>
      <c r="U59" s="797">
        <f t="shared" si="22"/>
        <v>0</v>
      </c>
      <c r="V59" s="797">
        <f t="shared" si="22"/>
        <v>66057.818463872405</v>
      </c>
      <c r="W59" s="797">
        <f t="shared" si="22"/>
        <v>0</v>
      </c>
      <c r="X59" s="797">
        <f t="shared" si="22"/>
        <v>0</v>
      </c>
      <c r="Y59" s="797">
        <f t="shared" si="22"/>
        <v>0</v>
      </c>
      <c r="Z59" s="797">
        <f t="shared" si="22"/>
        <v>0</v>
      </c>
      <c r="AA59" s="798">
        <f t="shared" si="22"/>
        <v>0</v>
      </c>
      <c r="AB59" s="421"/>
    </row>
    <row r="60" spans="1:28" s="92" customFormat="1" ht="15.75" thickBot="1">
      <c r="B60" s="799" t="s">
        <v>104</v>
      </c>
      <c r="C60" s="93"/>
      <c r="D60" s="208"/>
      <c r="E60" s="209"/>
      <c r="F60" s="209"/>
      <c r="G60" s="209"/>
      <c r="H60" s="209"/>
      <c r="I60" s="209"/>
      <c r="J60" s="209"/>
      <c r="K60" s="209"/>
      <c r="L60" s="209"/>
      <c r="M60" s="209"/>
      <c r="N60" s="209"/>
      <c r="O60" s="209"/>
      <c r="P60" s="209"/>
      <c r="Q60" s="209"/>
      <c r="R60" s="209"/>
      <c r="S60" s="209"/>
      <c r="T60" s="209"/>
      <c r="U60" s="209"/>
      <c r="V60" s="209"/>
      <c r="W60" s="209"/>
      <c r="X60" s="209"/>
      <c r="Y60" s="209"/>
      <c r="Z60" s="209"/>
      <c r="AA60" s="497"/>
    </row>
    <row r="61" spans="1:28" s="92" customFormat="1">
      <c r="B61" s="800" t="s">
        <v>91</v>
      </c>
      <c r="C61" s="93"/>
      <c r="D61" s="856">
        <f>+'3-DONNEES DE BASE'!E104</f>
        <v>0.2</v>
      </c>
      <c r="E61" s="493">
        <f>+D61*E53</f>
        <v>66792.748508590113</v>
      </c>
      <c r="F61" s="493">
        <f>+D61*F53</f>
        <v>188011.49265947292</v>
      </c>
      <c r="G61" s="852">
        <f>+D61*G53</f>
        <v>54484.963909933533</v>
      </c>
      <c r="H61" s="801"/>
      <c r="I61" s="802"/>
      <c r="J61" s="802"/>
      <c r="K61" s="802"/>
      <c r="L61" s="802"/>
      <c r="M61" s="802"/>
      <c r="N61" s="802"/>
      <c r="O61" s="802"/>
      <c r="P61" s="80"/>
      <c r="Q61" s="802"/>
      <c r="R61" s="802"/>
      <c r="S61" s="802"/>
      <c r="T61" s="802"/>
      <c r="U61" s="802"/>
      <c r="V61" s="802"/>
      <c r="W61" s="802"/>
      <c r="X61" s="802"/>
      <c r="Y61" s="802"/>
      <c r="Z61" s="802"/>
      <c r="AA61" s="803"/>
    </row>
    <row r="62" spans="1:28" s="92" customFormat="1">
      <c r="B62" s="800" t="s">
        <v>100</v>
      </c>
      <c r="C62" s="93"/>
      <c r="D62" s="857">
        <f>+'3-DONNEES DE BASE'!E105</f>
        <v>0</v>
      </c>
      <c r="E62" s="125">
        <f>+D62*E53</f>
        <v>0</v>
      </c>
      <c r="F62" s="125">
        <f>+D62*F53</f>
        <v>0</v>
      </c>
      <c r="G62" s="855">
        <f>+D62*G53</f>
        <v>0</v>
      </c>
      <c r="H62" s="801"/>
      <c r="I62" s="802"/>
      <c r="J62" s="802"/>
      <c r="K62" s="802"/>
      <c r="L62" s="802"/>
      <c r="M62" s="802"/>
      <c r="N62" s="802"/>
      <c r="O62" s="802"/>
      <c r="P62" s="80"/>
      <c r="Q62" s="802"/>
      <c r="R62" s="802"/>
      <c r="S62" s="802"/>
      <c r="T62" s="802"/>
      <c r="U62" s="802"/>
      <c r="V62" s="802"/>
      <c r="W62" s="802"/>
      <c r="X62" s="802"/>
      <c r="Y62" s="802"/>
      <c r="Z62" s="802"/>
      <c r="AA62" s="803"/>
    </row>
    <row r="63" spans="1:28" s="92" customFormat="1">
      <c r="B63" s="312" t="s">
        <v>443</v>
      </c>
      <c r="C63" s="93"/>
      <c r="D63" s="857">
        <f>+'3-DONNEES DE BASE'!E106</f>
        <v>0</v>
      </c>
      <c r="E63" s="125">
        <f>+D63*E53</f>
        <v>0</v>
      </c>
      <c r="F63" s="125">
        <f>+D63*F53</f>
        <v>0</v>
      </c>
      <c r="G63" s="855">
        <f>+D63*G53</f>
        <v>0</v>
      </c>
      <c r="H63" s="801"/>
      <c r="I63" s="802"/>
      <c r="J63" s="802"/>
      <c r="K63" s="802"/>
      <c r="L63" s="802"/>
      <c r="M63" s="802"/>
      <c r="N63" s="802"/>
      <c r="O63" s="802"/>
      <c r="P63" s="80"/>
      <c r="Q63" s="802"/>
      <c r="R63" s="802"/>
      <c r="S63" s="802"/>
      <c r="T63" s="802"/>
      <c r="U63" s="802"/>
      <c r="V63" s="802"/>
      <c r="W63" s="802"/>
      <c r="X63" s="802"/>
      <c r="Y63" s="802"/>
      <c r="Z63" s="802"/>
      <c r="AA63" s="803"/>
    </row>
    <row r="64" spans="1:28" s="92" customFormat="1" ht="15.75" thickBot="1">
      <c r="B64" s="312" t="s">
        <v>112</v>
      </c>
      <c r="C64" s="93"/>
      <c r="D64" s="883"/>
      <c r="E64" s="884">
        <f>+SUM(E61:E63)</f>
        <v>66792.748508590113</v>
      </c>
      <c r="F64" s="884">
        <f>+SUM(F61:F63)</f>
        <v>188011.49265947292</v>
      </c>
      <c r="G64" s="885">
        <f>+SUM(G61:G63)</f>
        <v>54484.963909933533</v>
      </c>
      <c r="H64" s="804"/>
      <c r="I64" s="305"/>
      <c r="J64" s="80">
        <f t="shared" ref="J64:AA64" si="23">+SUM(J61:J62)</f>
        <v>0</v>
      </c>
      <c r="K64" s="80">
        <f t="shared" si="23"/>
        <v>0</v>
      </c>
      <c r="L64" s="80">
        <f t="shared" si="23"/>
        <v>0</v>
      </c>
      <c r="M64" s="80">
        <f t="shared" si="23"/>
        <v>0</v>
      </c>
      <c r="N64" s="80">
        <f t="shared" si="23"/>
        <v>0</v>
      </c>
      <c r="O64" s="80">
        <f t="shared" si="23"/>
        <v>0</v>
      </c>
      <c r="P64" s="80">
        <f t="shared" si="23"/>
        <v>0</v>
      </c>
      <c r="Q64" s="80">
        <f t="shared" si="23"/>
        <v>0</v>
      </c>
      <c r="R64" s="80">
        <f t="shared" si="23"/>
        <v>0</v>
      </c>
      <c r="S64" s="80">
        <f t="shared" si="23"/>
        <v>0</v>
      </c>
      <c r="T64" s="80">
        <f t="shared" si="23"/>
        <v>0</v>
      </c>
      <c r="U64" s="80">
        <f t="shared" si="23"/>
        <v>0</v>
      </c>
      <c r="V64" s="80">
        <f t="shared" si="23"/>
        <v>0</v>
      </c>
      <c r="W64" s="80">
        <f t="shared" si="23"/>
        <v>0</v>
      </c>
      <c r="X64" s="80">
        <f t="shared" si="23"/>
        <v>0</v>
      </c>
      <c r="Y64" s="80">
        <f t="shared" si="23"/>
        <v>0</v>
      </c>
      <c r="Z64" s="80">
        <f t="shared" si="23"/>
        <v>0</v>
      </c>
      <c r="AA64" s="170">
        <f t="shared" si="23"/>
        <v>0</v>
      </c>
    </row>
    <row r="65" spans="1:88" s="768" customFormat="1">
      <c r="B65" s="314" t="s">
        <v>105</v>
      </c>
      <c r="C65" s="93"/>
      <c r="D65" s="871"/>
      <c r="E65" s="871">
        <f t="shared" ref="E65:AA65" si="24">+E48</f>
        <v>-5677.3836232301601</v>
      </c>
      <c r="F65" s="871">
        <f t="shared" si="24"/>
        <v>-21658.360499285358</v>
      </c>
      <c r="G65" s="871">
        <f t="shared" si="24"/>
        <v>-26289.582431629708</v>
      </c>
      <c r="H65" s="80">
        <f t="shared" si="24"/>
        <v>23005.641816461459</v>
      </c>
      <c r="I65" s="80">
        <f t="shared" si="24"/>
        <v>65498.699348198948</v>
      </c>
      <c r="J65" s="80">
        <f t="shared" si="24"/>
        <v>118502.56184436515</v>
      </c>
      <c r="K65" s="80">
        <f t="shared" si="24"/>
        <v>184757.34555318148</v>
      </c>
      <c r="L65" s="80">
        <f t="shared" si="24"/>
        <v>253760.00573528052</v>
      </c>
      <c r="M65" s="80">
        <f t="shared" si="24"/>
        <v>274504.98981432646</v>
      </c>
      <c r="N65" s="80">
        <f t="shared" si="24"/>
        <v>296155.77518516633</v>
      </c>
      <c r="O65" s="80">
        <f t="shared" si="24"/>
        <v>318757.65191239014</v>
      </c>
      <c r="P65" s="80">
        <f t="shared" si="24"/>
        <v>342358.1745638171</v>
      </c>
      <c r="Q65" s="80">
        <f t="shared" si="24"/>
        <v>367007.27543565712</v>
      </c>
      <c r="R65" s="80">
        <f t="shared" si="24"/>
        <v>392757.38343893108</v>
      </c>
      <c r="S65" s="80">
        <f t="shared" si="24"/>
        <v>417034.59068704757</v>
      </c>
      <c r="T65" s="80">
        <f t="shared" si="24"/>
        <v>442525.65829756984</v>
      </c>
      <c r="U65" s="80">
        <f t="shared" si="24"/>
        <v>469291.27928861836</v>
      </c>
      <c r="V65" s="80">
        <f t="shared" si="24"/>
        <v>497395.18132921925</v>
      </c>
      <c r="W65" s="80">
        <f t="shared" si="24"/>
        <v>526904.27847184998</v>
      </c>
      <c r="X65" s="80">
        <f t="shared" si="24"/>
        <v>557888.83047161251</v>
      </c>
      <c r="Y65" s="80">
        <f t="shared" si="24"/>
        <v>590422.61007136316</v>
      </c>
      <c r="Z65" s="80">
        <f t="shared" si="24"/>
        <v>624583.07865110133</v>
      </c>
      <c r="AA65" s="170">
        <f t="shared" si="24"/>
        <v>660451.57065982639</v>
      </c>
      <c r="AB65" s="421"/>
    </row>
    <row r="66" spans="1:88" s="92" customFormat="1">
      <c r="B66" s="312" t="s">
        <v>327</v>
      </c>
      <c r="C66" s="74"/>
      <c r="D66" s="74"/>
      <c r="E66" s="82"/>
      <c r="F66" s="82"/>
      <c r="G66" s="82"/>
      <c r="H66" s="82">
        <v>0</v>
      </c>
      <c r="I66" s="82">
        <v>0</v>
      </c>
      <c r="J66" s="82">
        <v>0</v>
      </c>
      <c r="K66" s="82">
        <v>0</v>
      </c>
      <c r="L66" s="82">
        <v>0</v>
      </c>
      <c r="M66" s="82">
        <v>0</v>
      </c>
      <c r="N66" s="82">
        <v>0</v>
      </c>
      <c r="O66" s="82">
        <v>0</v>
      </c>
      <c r="P66" s="82">
        <v>0</v>
      </c>
      <c r="Q66" s="82">
        <f>+'9-Cout  projet avec et sans TVA'!I63*(1+'3-DONNEES DE BASE'!E33)^10</f>
        <v>1071257.9665263237</v>
      </c>
      <c r="R66" s="82">
        <v>0</v>
      </c>
      <c r="S66" s="82">
        <v>0</v>
      </c>
      <c r="T66" s="82">
        <v>0</v>
      </c>
      <c r="U66" s="82">
        <v>0</v>
      </c>
      <c r="V66" s="82">
        <v>0</v>
      </c>
      <c r="W66" s="82">
        <v>0</v>
      </c>
      <c r="X66" s="82">
        <v>0</v>
      </c>
      <c r="Y66" s="82">
        <v>0</v>
      </c>
      <c r="Z66" s="82">
        <v>0</v>
      </c>
      <c r="AA66" s="397">
        <v>0</v>
      </c>
    </row>
    <row r="67" spans="1:88" s="92" customFormat="1">
      <c r="B67" s="312" t="s">
        <v>328</v>
      </c>
      <c r="C67" s="74"/>
      <c r="D67" s="74"/>
      <c r="E67" s="82"/>
      <c r="F67" s="82"/>
      <c r="G67" s="82"/>
      <c r="H67" s="82">
        <v>0</v>
      </c>
      <c r="I67" s="82">
        <v>0</v>
      </c>
      <c r="J67" s="82">
        <v>0</v>
      </c>
      <c r="K67" s="82">
        <v>0</v>
      </c>
      <c r="L67" s="82">
        <v>0</v>
      </c>
      <c r="M67" s="82">
        <v>0</v>
      </c>
      <c r="N67" s="82">
        <v>0</v>
      </c>
      <c r="O67" s="82">
        <v>0</v>
      </c>
      <c r="P67" s="82">
        <v>0</v>
      </c>
      <c r="Q67" s="82">
        <v>0</v>
      </c>
      <c r="R67" s="82">
        <v>0</v>
      </c>
      <c r="S67" s="82">
        <v>0</v>
      </c>
      <c r="T67" s="82">
        <v>0</v>
      </c>
      <c r="U67" s="82">
        <v>0</v>
      </c>
      <c r="V67" s="82">
        <v>0</v>
      </c>
      <c r="W67" s="82">
        <v>0</v>
      </c>
      <c r="X67" s="82">
        <v>0</v>
      </c>
      <c r="Y67" s="82">
        <v>0</v>
      </c>
      <c r="Z67" s="82">
        <v>0</v>
      </c>
      <c r="AA67" s="397">
        <f>+'9-Cout  projet avec et sans TVA'!J63*(1+'3-DONNEES DE BASE'!E33)^20</f>
        <v>959787.41847840208</v>
      </c>
    </row>
    <row r="68" spans="1:88" s="94" customFormat="1">
      <c r="B68" s="805" t="s">
        <v>203</v>
      </c>
      <c r="C68" s="806"/>
      <c r="D68" s="806"/>
      <c r="E68" s="75">
        <f>+E66+E65+E64</f>
        <v>61115.364885359952</v>
      </c>
      <c r="F68" s="75">
        <f t="shared" ref="F68:Q68" si="25">+F66+F65+F64</f>
        <v>166353.13216018755</v>
      </c>
      <c r="G68" s="75">
        <f t="shared" si="25"/>
        <v>28195.381478303825</v>
      </c>
      <c r="H68" s="75">
        <f t="shared" si="25"/>
        <v>23005.641816461459</v>
      </c>
      <c r="I68" s="75">
        <f t="shared" si="25"/>
        <v>65498.699348198948</v>
      </c>
      <c r="J68" s="75">
        <f t="shared" si="25"/>
        <v>118502.56184436515</v>
      </c>
      <c r="K68" s="75">
        <f t="shared" si="25"/>
        <v>184757.34555318148</v>
      </c>
      <c r="L68" s="75">
        <f t="shared" si="25"/>
        <v>253760.00573528052</v>
      </c>
      <c r="M68" s="75">
        <f t="shared" si="25"/>
        <v>274504.98981432646</v>
      </c>
      <c r="N68" s="75">
        <f t="shared" si="25"/>
        <v>296155.77518516633</v>
      </c>
      <c r="O68" s="75">
        <f t="shared" si="25"/>
        <v>318757.65191239014</v>
      </c>
      <c r="P68" s="75">
        <f t="shared" si="25"/>
        <v>342358.1745638171</v>
      </c>
      <c r="Q68" s="75">
        <f t="shared" si="25"/>
        <v>1438265.2419619807</v>
      </c>
      <c r="R68" s="75"/>
      <c r="S68" s="75"/>
      <c r="T68" s="75"/>
      <c r="U68" s="75"/>
      <c r="V68" s="75"/>
      <c r="W68" s="75"/>
      <c r="X68" s="75"/>
      <c r="Y68" s="75"/>
      <c r="Z68" s="75"/>
      <c r="AA68" s="496"/>
      <c r="AB68" s="421"/>
    </row>
    <row r="69" spans="1:88" s="94" customFormat="1">
      <c r="B69" s="805" t="s">
        <v>204</v>
      </c>
      <c r="C69" s="806"/>
      <c r="D69" s="806"/>
      <c r="E69" s="75">
        <f>+E67+E65+E64</f>
        <v>61115.364885359952</v>
      </c>
      <c r="F69" s="75">
        <f t="shared" ref="F69:AA69" si="26">+F67+F65+F64</f>
        <v>166353.13216018755</v>
      </c>
      <c r="G69" s="75">
        <f t="shared" si="26"/>
        <v>28195.381478303825</v>
      </c>
      <c r="H69" s="75">
        <f t="shared" si="26"/>
        <v>23005.641816461459</v>
      </c>
      <c r="I69" s="75">
        <f t="shared" si="26"/>
        <v>65498.699348198948</v>
      </c>
      <c r="J69" s="75">
        <f t="shared" si="26"/>
        <v>118502.56184436515</v>
      </c>
      <c r="K69" s="75">
        <f t="shared" si="26"/>
        <v>184757.34555318148</v>
      </c>
      <c r="L69" s="75">
        <f t="shared" si="26"/>
        <v>253760.00573528052</v>
      </c>
      <c r="M69" s="75">
        <f t="shared" si="26"/>
        <v>274504.98981432646</v>
      </c>
      <c r="N69" s="75">
        <f t="shared" si="26"/>
        <v>296155.77518516633</v>
      </c>
      <c r="O69" s="75">
        <f t="shared" si="26"/>
        <v>318757.65191239014</v>
      </c>
      <c r="P69" s="75">
        <f t="shared" si="26"/>
        <v>342358.1745638171</v>
      </c>
      <c r="Q69" s="75">
        <f t="shared" si="26"/>
        <v>367007.27543565712</v>
      </c>
      <c r="R69" s="75">
        <f t="shared" si="26"/>
        <v>392757.38343893108</v>
      </c>
      <c r="S69" s="75">
        <f t="shared" si="26"/>
        <v>417034.59068704757</v>
      </c>
      <c r="T69" s="75">
        <f t="shared" si="26"/>
        <v>442525.65829756984</v>
      </c>
      <c r="U69" s="75">
        <f t="shared" si="26"/>
        <v>469291.27928861836</v>
      </c>
      <c r="V69" s="75">
        <f t="shared" si="26"/>
        <v>497395.18132921925</v>
      </c>
      <c r="W69" s="75">
        <f t="shared" si="26"/>
        <v>526904.27847184998</v>
      </c>
      <c r="X69" s="75">
        <f t="shared" si="26"/>
        <v>557888.83047161251</v>
      </c>
      <c r="Y69" s="75">
        <f t="shared" si="26"/>
        <v>590422.61007136316</v>
      </c>
      <c r="Z69" s="75">
        <f t="shared" si="26"/>
        <v>624583.07865110133</v>
      </c>
      <c r="AA69" s="496">
        <f t="shared" si="26"/>
        <v>1620238.9891382284</v>
      </c>
      <c r="AB69" s="421"/>
    </row>
    <row r="70" spans="1:88" s="177" customFormat="1" ht="30.75" thickBot="1">
      <c r="A70" s="172"/>
      <c r="B70" s="807" t="s">
        <v>124</v>
      </c>
      <c r="C70" s="808"/>
      <c r="D70" s="808"/>
      <c r="E70" s="808">
        <f t="shared" ref="E70:Q70" si="27">+E68-E58</f>
        <v>-272848.37765759061</v>
      </c>
      <c r="F70" s="808">
        <f t="shared" si="27"/>
        <v>-773704.33113717695</v>
      </c>
      <c r="G70" s="808">
        <f t="shared" si="27"/>
        <v>-244229.43807136384</v>
      </c>
      <c r="H70" s="808">
        <f t="shared" si="27"/>
        <v>23005.641816461459</v>
      </c>
      <c r="I70" s="808">
        <f t="shared" si="27"/>
        <v>34569.778840399296</v>
      </c>
      <c r="J70" s="808">
        <f t="shared" si="27"/>
        <v>87573.641336565488</v>
      </c>
      <c r="K70" s="808">
        <f t="shared" si="27"/>
        <v>153828.42504538182</v>
      </c>
      <c r="L70" s="808">
        <f t="shared" si="27"/>
        <v>173677.86447716085</v>
      </c>
      <c r="M70" s="808">
        <f t="shared" si="27"/>
        <v>243576.0693065268</v>
      </c>
      <c r="N70" s="808">
        <f t="shared" si="27"/>
        <v>265226.85467736667</v>
      </c>
      <c r="O70" s="808">
        <f t="shared" si="27"/>
        <v>287828.73140459048</v>
      </c>
      <c r="P70" s="808">
        <f t="shared" si="27"/>
        <v>311429.25405601744</v>
      </c>
      <c r="Q70" s="808">
        <f t="shared" si="27"/>
        <v>1407336.3214541811</v>
      </c>
      <c r="R70" s="808"/>
      <c r="S70" s="808"/>
      <c r="T70" s="808"/>
      <c r="U70" s="808"/>
      <c r="V70" s="808"/>
      <c r="W70" s="808"/>
      <c r="X70" s="808"/>
      <c r="Y70" s="808"/>
      <c r="Z70" s="808"/>
      <c r="AA70" s="809"/>
      <c r="AB70" s="768"/>
      <c r="AC70" s="172"/>
      <c r="AD70" s="172"/>
      <c r="AE70" s="172"/>
      <c r="AF70" s="172"/>
      <c r="AG70" s="172"/>
      <c r="AH70" s="172"/>
      <c r="AI70" s="172"/>
      <c r="AJ70" s="172"/>
      <c r="AK70" s="172"/>
      <c r="AL70" s="172"/>
      <c r="AM70" s="172"/>
      <c r="AN70" s="172"/>
      <c r="AO70" s="172"/>
      <c r="AP70" s="172"/>
      <c r="AQ70" s="172"/>
      <c r="AR70" s="172"/>
      <c r="AS70" s="172"/>
      <c r="AT70" s="172"/>
      <c r="AU70" s="172"/>
      <c r="AV70" s="172"/>
      <c r="AW70" s="172"/>
      <c r="AX70" s="172"/>
      <c r="AY70" s="172"/>
      <c r="AZ70" s="172"/>
      <c r="BA70" s="172"/>
      <c r="BB70" s="172"/>
      <c r="BC70" s="172"/>
      <c r="BD70" s="172"/>
      <c r="BE70" s="172"/>
      <c r="BF70" s="172"/>
      <c r="BG70" s="172"/>
      <c r="BH70" s="172"/>
      <c r="BI70" s="172"/>
      <c r="BJ70" s="172"/>
      <c r="BK70" s="172"/>
      <c r="BL70" s="172"/>
      <c r="BM70" s="172"/>
      <c r="BN70" s="172"/>
      <c r="BO70" s="172"/>
      <c r="BP70" s="172"/>
      <c r="BQ70" s="172"/>
      <c r="BR70" s="172"/>
      <c r="BS70" s="172"/>
      <c r="BT70" s="172"/>
      <c r="BU70" s="172"/>
      <c r="BV70" s="172"/>
      <c r="BW70" s="172"/>
      <c r="BX70" s="172"/>
      <c r="BY70" s="172"/>
      <c r="BZ70" s="172"/>
      <c r="CA70" s="172"/>
      <c r="CB70" s="172"/>
      <c r="CC70" s="172"/>
      <c r="CD70" s="172"/>
      <c r="CE70" s="172"/>
      <c r="CF70" s="172"/>
      <c r="CG70" s="172"/>
      <c r="CH70" s="172"/>
      <c r="CI70" s="172"/>
      <c r="CJ70" s="172"/>
    </row>
    <row r="71" spans="1:88" s="770" customFormat="1" ht="30.75" thickBot="1">
      <c r="A71" s="769"/>
      <c r="B71" s="814" t="s">
        <v>125</v>
      </c>
      <c r="C71" s="810"/>
      <c r="D71" s="811"/>
      <c r="E71" s="812">
        <f t="shared" ref="E71:Q71" si="28">+E69-E59</f>
        <v>-272848.37765759061</v>
      </c>
      <c r="F71" s="812">
        <f t="shared" si="28"/>
        <v>-773704.33113717695</v>
      </c>
      <c r="G71" s="812">
        <f t="shared" si="28"/>
        <v>-244229.43807136384</v>
      </c>
      <c r="H71" s="812">
        <f t="shared" si="28"/>
        <v>23005.641816461459</v>
      </c>
      <c r="I71" s="812">
        <f t="shared" si="28"/>
        <v>34569.778840399296</v>
      </c>
      <c r="J71" s="812">
        <f t="shared" si="28"/>
        <v>87573.641336565488</v>
      </c>
      <c r="K71" s="812">
        <f t="shared" si="28"/>
        <v>153828.42504538182</v>
      </c>
      <c r="L71" s="812">
        <f t="shared" si="28"/>
        <v>173677.86447716085</v>
      </c>
      <c r="M71" s="812">
        <f t="shared" si="28"/>
        <v>243576.0693065268</v>
      </c>
      <c r="N71" s="812">
        <f t="shared" si="28"/>
        <v>265226.85467736667</v>
      </c>
      <c r="O71" s="812">
        <f t="shared" si="28"/>
        <v>287828.73140459048</v>
      </c>
      <c r="P71" s="812">
        <f t="shared" si="28"/>
        <v>311429.25405601744</v>
      </c>
      <c r="Q71" s="812">
        <f t="shared" si="28"/>
        <v>195235.91837259353</v>
      </c>
      <c r="R71" s="812">
        <f t="shared" ref="R71:AA71" si="29">+R69-R59</f>
        <v>361828.46293113142</v>
      </c>
      <c r="S71" s="812">
        <f t="shared" si="29"/>
        <v>417034.59068704757</v>
      </c>
      <c r="T71" s="812">
        <f t="shared" si="29"/>
        <v>442525.65829756984</v>
      </c>
      <c r="U71" s="812">
        <f t="shared" si="29"/>
        <v>469291.27928861836</v>
      </c>
      <c r="V71" s="812">
        <f t="shared" si="29"/>
        <v>431337.36286534683</v>
      </c>
      <c r="W71" s="812">
        <f t="shared" si="29"/>
        <v>526904.27847184998</v>
      </c>
      <c r="X71" s="812">
        <f t="shared" si="29"/>
        <v>557888.83047161251</v>
      </c>
      <c r="Y71" s="812">
        <f t="shared" si="29"/>
        <v>590422.61007136316</v>
      </c>
      <c r="Z71" s="812">
        <f t="shared" si="29"/>
        <v>624583.07865110133</v>
      </c>
      <c r="AA71" s="813">
        <f t="shared" si="29"/>
        <v>1620238.9891382284</v>
      </c>
      <c r="AB71" s="207"/>
      <c r="AC71" s="206"/>
      <c r="AD71" s="206"/>
      <c r="AE71" s="206"/>
      <c r="AF71" s="206"/>
      <c r="AG71" s="206"/>
      <c r="AH71" s="206"/>
      <c r="AI71" s="206"/>
      <c r="AJ71" s="206"/>
      <c r="AK71" s="206"/>
      <c r="AL71" s="206"/>
      <c r="AM71" s="206"/>
      <c r="AN71" s="206"/>
      <c r="AO71" s="206"/>
      <c r="AP71" s="206"/>
      <c r="AQ71" s="206"/>
      <c r="AR71" s="206"/>
      <c r="AS71" s="206"/>
      <c r="AT71" s="206"/>
      <c r="AU71" s="206"/>
      <c r="AV71" s="206"/>
      <c r="AW71" s="206"/>
      <c r="AX71" s="206"/>
      <c r="AY71" s="206"/>
      <c r="AZ71" s="206"/>
      <c r="BA71" s="206"/>
      <c r="BB71" s="206"/>
      <c r="BC71" s="206"/>
      <c r="BD71" s="206"/>
      <c r="BE71" s="206"/>
      <c r="BF71" s="206"/>
      <c r="BG71" s="206"/>
      <c r="BH71" s="206"/>
      <c r="BI71" s="206"/>
      <c r="BJ71" s="206"/>
      <c r="BK71" s="206"/>
      <c r="BL71" s="206"/>
      <c r="BM71" s="206"/>
      <c r="BN71" s="206"/>
      <c r="BO71" s="206"/>
      <c r="BP71" s="206"/>
      <c r="BQ71" s="206"/>
      <c r="BR71" s="206"/>
      <c r="BS71" s="206"/>
      <c r="BT71" s="206"/>
      <c r="BU71" s="206"/>
      <c r="BV71" s="206"/>
      <c r="BW71" s="206"/>
      <c r="BX71" s="206"/>
      <c r="BY71" s="206"/>
      <c r="BZ71" s="206"/>
      <c r="CA71" s="206"/>
      <c r="CB71" s="206"/>
      <c r="CC71" s="206"/>
      <c r="CD71" s="206"/>
      <c r="CE71" s="206"/>
      <c r="CF71" s="206"/>
      <c r="CG71" s="206"/>
      <c r="CH71" s="206"/>
      <c r="CI71" s="206"/>
      <c r="CJ71" s="206"/>
    </row>
    <row r="72" spans="1:88" s="94" customFormat="1">
      <c r="A72" s="138"/>
      <c r="B72" s="307"/>
      <c r="C72" s="498" t="s">
        <v>61</v>
      </c>
      <c r="D72" s="886">
        <f>IFERROR(+IRR(E70:Q70),"très rentable")</f>
        <v>9.8679934923595544E-2</v>
      </c>
      <c r="E72" s="499"/>
      <c r="F72" s="1380"/>
      <c r="G72" s="1380"/>
      <c r="H72" s="499"/>
      <c r="I72" s="499"/>
      <c r="J72" s="499"/>
      <c r="K72" s="499"/>
      <c r="L72" s="499"/>
      <c r="M72" s="499"/>
      <c r="N72" s="499"/>
      <c r="O72" s="499"/>
      <c r="P72" s="266"/>
      <c r="Q72" s="499"/>
      <c r="R72" s="499"/>
      <c r="S72" s="499"/>
      <c r="T72" s="499"/>
      <c r="U72" s="499"/>
      <c r="V72" s="499"/>
      <c r="W72" s="499"/>
      <c r="X72" s="499"/>
      <c r="Y72" s="499"/>
      <c r="Z72" s="499"/>
      <c r="AA72" s="499"/>
    </row>
    <row r="73" spans="1:88" s="94" customFormat="1" ht="15.75" thickBot="1">
      <c r="A73" s="138"/>
      <c r="B73" s="307"/>
      <c r="C73" s="308" t="s">
        <v>62</v>
      </c>
      <c r="D73" s="887">
        <f>IFERROR(+IRR(E71:AA71),"très rentable")</f>
        <v>0.14072439715749771</v>
      </c>
      <c r="E73" s="139"/>
      <c r="F73" s="139"/>
      <c r="G73" s="139"/>
      <c r="H73" s="139"/>
      <c r="I73" s="139"/>
      <c r="J73" s="139"/>
      <c r="K73" s="139"/>
      <c r="L73" s="139"/>
      <c r="M73" s="139"/>
      <c r="N73" s="139"/>
      <c r="O73" s="139"/>
      <c r="P73" s="301"/>
      <c r="Q73" s="139"/>
      <c r="R73" s="139"/>
      <c r="S73" s="139"/>
      <c r="T73" s="139"/>
      <c r="U73" s="139"/>
      <c r="V73" s="139"/>
      <c r="W73" s="139"/>
      <c r="X73" s="139"/>
      <c r="Y73" s="139"/>
      <c r="Z73" s="139"/>
      <c r="AA73" s="139"/>
    </row>
    <row r="74" spans="1:88" s="94" customFormat="1">
      <c r="A74" s="138"/>
      <c r="B74" s="156"/>
      <c r="C74" s="156"/>
      <c r="D74" s="306"/>
      <c r="E74" s="139"/>
      <c r="F74" s="139"/>
      <c r="G74" s="139"/>
      <c r="H74" s="139"/>
      <c r="I74" s="139"/>
      <c r="J74" s="139"/>
      <c r="K74" s="139"/>
      <c r="L74" s="139"/>
      <c r="M74" s="139"/>
      <c r="N74" s="139"/>
      <c r="O74" s="139"/>
      <c r="P74" s="301"/>
      <c r="Q74" s="139"/>
      <c r="R74" s="139"/>
      <c r="S74" s="139"/>
      <c r="T74" s="139"/>
      <c r="U74" s="139"/>
      <c r="V74" s="139"/>
      <c r="W74" s="139"/>
      <c r="X74" s="139"/>
      <c r="Y74" s="139"/>
      <c r="Z74" s="139"/>
      <c r="AA74" s="139"/>
    </row>
    <row r="75" spans="1:88" s="94" customFormat="1" ht="15.75" thickBot="1">
      <c r="A75" s="138"/>
      <c r="B75" s="156"/>
      <c r="C75" s="156"/>
      <c r="D75" s="212"/>
      <c r="E75" s="139"/>
      <c r="F75" s="139"/>
      <c r="G75" s="139"/>
      <c r="H75" s="139"/>
      <c r="I75" s="139"/>
      <c r="J75" s="139"/>
      <c r="K75" s="139"/>
      <c r="L75" s="139"/>
      <c r="M75" s="139"/>
      <c r="N75" s="139"/>
      <c r="O75" s="139"/>
      <c r="P75" s="301"/>
      <c r="Q75" s="139"/>
      <c r="R75" s="139"/>
      <c r="S75" s="139"/>
      <c r="T75" s="139"/>
      <c r="U75" s="139"/>
      <c r="V75" s="139"/>
      <c r="W75" s="139"/>
      <c r="X75" s="139"/>
      <c r="Y75" s="139"/>
      <c r="Z75" s="139"/>
      <c r="AA75" s="139"/>
    </row>
    <row r="76" spans="1:88" s="94" customFormat="1" ht="14.45" customHeight="1">
      <c r="A76" s="138"/>
      <c r="B76" s="1374" t="s">
        <v>194</v>
      </c>
      <c r="C76" s="1375"/>
      <c r="D76" s="212"/>
      <c r="E76" s="139"/>
      <c r="F76" s="139"/>
      <c r="G76" s="139"/>
      <c r="H76" s="139"/>
      <c r="I76" s="139"/>
      <c r="J76" s="139"/>
      <c r="K76" s="139"/>
      <c r="L76" s="139"/>
      <c r="M76" s="139"/>
      <c r="N76" s="139"/>
      <c r="O76" s="139"/>
      <c r="P76" s="301"/>
      <c r="Q76" s="139"/>
      <c r="R76" s="139"/>
      <c r="S76" s="139"/>
      <c r="T76" s="139"/>
      <c r="U76" s="139"/>
      <c r="V76" s="139"/>
      <c r="W76" s="139"/>
      <c r="X76" s="139"/>
      <c r="Y76" s="139"/>
      <c r="Z76" s="139"/>
      <c r="AA76" s="139"/>
    </row>
    <row r="77" spans="1:88" s="94" customFormat="1">
      <c r="A77" s="138"/>
      <c r="B77" s="1376"/>
      <c r="C77" s="1377"/>
      <c r="D77" s="212"/>
      <c r="E77" s="139"/>
      <c r="F77" s="139"/>
      <c r="G77" s="139"/>
      <c r="H77" s="139"/>
      <c r="I77" s="139"/>
      <c r="J77" s="139"/>
      <c r="K77" s="139"/>
      <c r="L77" s="139"/>
      <c r="M77" s="139"/>
      <c r="N77" s="139"/>
      <c r="O77" s="139"/>
      <c r="P77" s="301"/>
      <c r="Q77" s="139"/>
      <c r="R77" s="139"/>
      <c r="S77" s="139"/>
      <c r="T77" s="139"/>
      <c r="U77" s="139"/>
      <c r="V77" s="139"/>
      <c r="W77" s="139"/>
      <c r="X77" s="139"/>
      <c r="Y77" s="139"/>
      <c r="Z77" s="139"/>
      <c r="AA77" s="139"/>
    </row>
    <row r="78" spans="1:88" s="94" customFormat="1">
      <c r="A78" s="138"/>
      <c r="B78" s="1376"/>
      <c r="C78" s="1377"/>
      <c r="D78" s="212"/>
      <c r="E78" s="139"/>
      <c r="F78" s="139"/>
      <c r="G78" s="139"/>
      <c r="H78" s="139"/>
      <c r="I78" s="139"/>
      <c r="J78" s="139"/>
      <c r="K78" s="139"/>
      <c r="L78" s="139"/>
      <c r="M78" s="139"/>
      <c r="N78" s="139"/>
      <c r="O78" s="139"/>
      <c r="P78" s="301"/>
      <c r="Q78" s="139"/>
      <c r="R78" s="139"/>
      <c r="S78" s="139"/>
      <c r="T78" s="139"/>
      <c r="U78" s="139"/>
      <c r="V78" s="139"/>
      <c r="W78" s="139"/>
      <c r="X78" s="139"/>
      <c r="Y78" s="139"/>
      <c r="Z78" s="139"/>
      <c r="AA78" s="139"/>
    </row>
    <row r="79" spans="1:88" s="94" customFormat="1">
      <c r="A79" s="138"/>
      <c r="B79" s="1376"/>
      <c r="C79" s="1377"/>
      <c r="D79" s="212"/>
      <c r="E79" s="139"/>
      <c r="F79" s="139"/>
      <c r="G79" s="139"/>
      <c r="H79" s="139"/>
      <c r="I79" s="139"/>
      <c r="J79" s="139"/>
      <c r="K79" s="139"/>
      <c r="L79" s="139"/>
      <c r="M79" s="139"/>
      <c r="N79" s="139"/>
      <c r="O79" s="139"/>
      <c r="P79" s="301"/>
      <c r="Q79" s="139"/>
      <c r="R79" s="139"/>
      <c r="S79" s="139"/>
      <c r="T79" s="139"/>
      <c r="U79" s="139"/>
      <c r="V79" s="139"/>
      <c r="W79" s="139"/>
      <c r="X79" s="139"/>
      <c r="Y79" s="139"/>
      <c r="Z79" s="139"/>
      <c r="AA79" s="139"/>
    </row>
    <row r="80" spans="1:88" s="94" customFormat="1" ht="15.75" thickBot="1">
      <c r="A80" s="138"/>
      <c r="B80" s="1376"/>
      <c r="C80" s="1377"/>
      <c r="D80" s="212"/>
      <c r="E80" s="500"/>
      <c r="F80" s="500"/>
      <c r="G80" s="500"/>
      <c r="H80" s="500"/>
      <c r="I80" s="500"/>
      <c r="J80" s="500"/>
      <c r="K80" s="500"/>
      <c r="L80" s="500"/>
      <c r="M80" s="500"/>
      <c r="N80" s="500"/>
      <c r="O80" s="500"/>
      <c r="P80" s="494"/>
      <c r="Q80" s="500"/>
      <c r="R80" s="500"/>
      <c r="S80" s="500"/>
      <c r="T80" s="500"/>
      <c r="U80" s="500"/>
      <c r="V80" s="500"/>
      <c r="W80" s="500"/>
      <c r="X80" s="500"/>
      <c r="Y80" s="500"/>
      <c r="Z80" s="500"/>
      <c r="AA80" s="500"/>
    </row>
    <row r="81" spans="1:43" s="94" customFormat="1" ht="15.75" thickBot="1">
      <c r="A81" s="138"/>
      <c r="B81" s="1378"/>
      <c r="C81" s="1379"/>
      <c r="D81" s="509"/>
      <c r="E81" s="510">
        <v>2020</v>
      </c>
      <c r="F81" s="510">
        <f>+E81+1</f>
        <v>2021</v>
      </c>
      <c r="G81" s="510">
        <f t="shared" ref="G81:AA81" si="30">+F81+1</f>
        <v>2022</v>
      </c>
      <c r="H81" s="510">
        <f t="shared" si="30"/>
        <v>2023</v>
      </c>
      <c r="I81" s="510">
        <f t="shared" si="30"/>
        <v>2024</v>
      </c>
      <c r="J81" s="510">
        <f t="shared" si="30"/>
        <v>2025</v>
      </c>
      <c r="K81" s="510">
        <f t="shared" si="30"/>
        <v>2026</v>
      </c>
      <c r="L81" s="510">
        <f t="shared" si="30"/>
        <v>2027</v>
      </c>
      <c r="M81" s="510">
        <f t="shared" si="30"/>
        <v>2028</v>
      </c>
      <c r="N81" s="510">
        <f t="shared" si="30"/>
        <v>2029</v>
      </c>
      <c r="O81" s="510">
        <f t="shared" si="30"/>
        <v>2030</v>
      </c>
      <c r="P81" s="510">
        <f t="shared" si="30"/>
        <v>2031</v>
      </c>
      <c r="Q81" s="510">
        <f t="shared" si="30"/>
        <v>2032</v>
      </c>
      <c r="R81" s="510">
        <f t="shared" si="30"/>
        <v>2033</v>
      </c>
      <c r="S81" s="510">
        <f t="shared" si="30"/>
        <v>2034</v>
      </c>
      <c r="T81" s="510">
        <f t="shared" si="30"/>
        <v>2035</v>
      </c>
      <c r="U81" s="510">
        <f t="shared" si="30"/>
        <v>2036</v>
      </c>
      <c r="V81" s="510">
        <f t="shared" si="30"/>
        <v>2037</v>
      </c>
      <c r="W81" s="510">
        <f t="shared" si="30"/>
        <v>2038</v>
      </c>
      <c r="X81" s="510">
        <f t="shared" si="30"/>
        <v>2039</v>
      </c>
      <c r="Y81" s="510">
        <f t="shared" si="30"/>
        <v>2040</v>
      </c>
      <c r="Z81" s="510">
        <f t="shared" si="30"/>
        <v>2041</v>
      </c>
      <c r="AA81" s="511">
        <f t="shared" si="30"/>
        <v>2042</v>
      </c>
    </row>
    <row r="82" spans="1:43" s="94" customFormat="1" ht="15.75" thickBot="1">
      <c r="A82" s="138"/>
      <c r="B82" s="504" t="s">
        <v>323</v>
      </c>
      <c r="C82" s="508"/>
      <c r="D82" s="512"/>
      <c r="E82" s="514">
        <f>+E58</f>
        <v>333963.74254295055</v>
      </c>
      <c r="F82" s="514">
        <f>+F58</f>
        <v>940057.46329736453</v>
      </c>
      <c r="G82" s="514">
        <f>+G53</f>
        <v>272424.81954966765</v>
      </c>
      <c r="H82" s="514">
        <f t="shared" ref="H82:AA82" si="31">+H58</f>
        <v>0</v>
      </c>
      <c r="I82" s="514">
        <f t="shared" si="31"/>
        <v>30928.920507799652</v>
      </c>
      <c r="J82" s="514">
        <f t="shared" si="31"/>
        <v>30928.920507799652</v>
      </c>
      <c r="K82" s="514">
        <f t="shared" si="31"/>
        <v>30928.920507799652</v>
      </c>
      <c r="L82" s="514">
        <f t="shared" si="31"/>
        <v>80082.141258119649</v>
      </c>
      <c r="M82" s="514">
        <f t="shared" si="31"/>
        <v>30928.920507799652</v>
      </c>
      <c r="N82" s="514">
        <f t="shared" si="31"/>
        <v>30928.920507799652</v>
      </c>
      <c r="O82" s="514">
        <f t="shared" si="31"/>
        <v>30928.920507799652</v>
      </c>
      <c r="P82" s="514">
        <f t="shared" si="31"/>
        <v>30928.920507799652</v>
      </c>
      <c r="Q82" s="514">
        <f t="shared" si="31"/>
        <v>30928.920507799652</v>
      </c>
      <c r="R82" s="514">
        <f t="shared" si="31"/>
        <v>30928.920507799652</v>
      </c>
      <c r="S82" s="514">
        <f t="shared" si="31"/>
        <v>0</v>
      </c>
      <c r="T82" s="514">
        <f t="shared" si="31"/>
        <v>0</v>
      </c>
      <c r="U82" s="514">
        <f t="shared" si="31"/>
        <v>0</v>
      </c>
      <c r="V82" s="514">
        <f t="shared" si="31"/>
        <v>0</v>
      </c>
      <c r="W82" s="514">
        <f t="shared" si="31"/>
        <v>0</v>
      </c>
      <c r="X82" s="514">
        <f t="shared" si="31"/>
        <v>0</v>
      </c>
      <c r="Y82" s="514">
        <f t="shared" si="31"/>
        <v>0</v>
      </c>
      <c r="Z82" s="514">
        <f t="shared" si="31"/>
        <v>0</v>
      </c>
      <c r="AA82" s="515">
        <f t="shared" si="31"/>
        <v>0</v>
      </c>
    </row>
    <row r="83" spans="1:43" s="157" customFormat="1" ht="17.45" customHeight="1">
      <c r="A83" s="173"/>
      <c r="B83" s="1381" t="s">
        <v>138</v>
      </c>
      <c r="C83" s="1382"/>
      <c r="D83" s="366"/>
      <c r="E83" s="516">
        <f>+E70/(1+'3-DONNEES DE BASE'!E100)^0</f>
        <v>-272848.37765759061</v>
      </c>
      <c r="F83" s="516">
        <f>+F70/(1+'3-DONNEES DE BASE'!E100)^1</f>
        <v>-736861.26774969231</v>
      </c>
      <c r="G83" s="516">
        <f>+G70/(1+'3-DONNEES DE BASE'!E100)^2</f>
        <v>-221523.29983797172</v>
      </c>
      <c r="H83" s="516">
        <f>+H70/(1+'3-DONNEES DE BASE'!E100)^3</f>
        <v>19873.13837940737</v>
      </c>
      <c r="I83" s="516">
        <f>+I70/(1+'3-DONNEES DE BASE'!E100)^4</f>
        <v>28440.642605004537</v>
      </c>
      <c r="J83" s="516">
        <f>+J70/(1+'3-DONNEES DE BASE'!E100)^5</f>
        <v>68616.239480122924</v>
      </c>
      <c r="K83" s="516">
        <f>+K70/(1+'3-DONNEES DE BASE'!E100)^6</f>
        <v>114789.13920922735</v>
      </c>
      <c r="L83" s="516">
        <f>+L70/(1+'3-DONNEES DE BASE'!E100)^7</f>
        <v>123429.61574078765</v>
      </c>
      <c r="M83" s="516">
        <f>+M70/(1+'3-DONNEES DE BASE'!E100)^8</f>
        <v>164861.8713548849</v>
      </c>
      <c r="N83" s="516">
        <f>+N70/(1+'3-DONNEES DE BASE'!E100)^9</f>
        <v>170967.59534543255</v>
      </c>
      <c r="O83" s="516">
        <f>+O70/(1+'3-DONNEES DE BASE'!E100)^10</f>
        <v>176701.87295910146</v>
      </c>
      <c r="P83" s="516">
        <f>+P70/(1+'3-DONNEES DE BASE'!E100)^11</f>
        <v>182086.23486219178</v>
      </c>
      <c r="Q83" s="517">
        <f>+Q70/(1+'3-DONNEES DE BASE'!E100)^12</f>
        <v>783657.5237460502</v>
      </c>
      <c r="R83" s="518"/>
      <c r="S83" s="519"/>
      <c r="T83" s="519"/>
      <c r="U83" s="519"/>
      <c r="V83" s="519"/>
      <c r="W83" s="519"/>
      <c r="X83" s="519"/>
      <c r="Y83" s="519"/>
      <c r="Z83" s="519"/>
      <c r="AA83" s="520"/>
    </row>
    <row r="84" spans="1:43" s="174" customFormat="1" ht="14.45" customHeight="1">
      <c r="A84" s="173"/>
      <c r="B84" s="1383" t="s">
        <v>139</v>
      </c>
      <c r="C84" s="1384"/>
      <c r="D84" s="368"/>
      <c r="E84" s="521">
        <f>+E83</f>
        <v>-272848.37765759061</v>
      </c>
      <c r="F84" s="521">
        <f>+F83+E84</f>
        <v>-1009709.645407283</v>
      </c>
      <c r="G84" s="522">
        <f>+G83+F84</f>
        <v>-1231232.9452452548</v>
      </c>
      <c r="H84" s="523">
        <f>+H83+G84</f>
        <v>-1211359.8068658474</v>
      </c>
      <c r="I84" s="523">
        <f>+H84+I83</f>
        <v>-1182919.1642608428</v>
      </c>
      <c r="J84" s="523">
        <f t="shared" ref="J84:Q84" si="32">+J83+I84</f>
        <v>-1114302.9247807199</v>
      </c>
      <c r="K84" s="523">
        <f t="shared" si="32"/>
        <v>-999513.78557149251</v>
      </c>
      <c r="L84" s="523">
        <f t="shared" si="32"/>
        <v>-876084.16983070481</v>
      </c>
      <c r="M84" s="523">
        <f t="shared" si="32"/>
        <v>-711222.29847581987</v>
      </c>
      <c r="N84" s="523">
        <f t="shared" si="32"/>
        <v>-540254.70313038735</v>
      </c>
      <c r="O84" s="523">
        <f t="shared" si="32"/>
        <v>-363552.8301712859</v>
      </c>
      <c r="P84" s="523">
        <f t="shared" si="32"/>
        <v>-181466.59530909412</v>
      </c>
      <c r="Q84" s="524">
        <f t="shared" si="32"/>
        <v>602190.92843695614</v>
      </c>
      <c r="R84" s="525"/>
      <c r="S84" s="526"/>
      <c r="T84" s="526"/>
      <c r="U84" s="526"/>
      <c r="V84" s="526"/>
      <c r="W84" s="526"/>
      <c r="X84" s="526"/>
      <c r="Y84" s="526"/>
      <c r="Z84" s="526"/>
      <c r="AA84" s="527"/>
      <c r="AB84" s="157"/>
      <c r="AC84" s="157"/>
      <c r="AD84" s="157"/>
      <c r="AE84" s="157"/>
      <c r="AF84" s="157"/>
      <c r="AG84" s="157"/>
      <c r="AH84" s="157"/>
      <c r="AI84" s="157"/>
      <c r="AJ84" s="157"/>
      <c r="AK84" s="157"/>
      <c r="AL84" s="157"/>
      <c r="AM84" s="157"/>
      <c r="AN84" s="157"/>
      <c r="AO84" s="157"/>
      <c r="AP84" s="157"/>
      <c r="AQ84" s="157"/>
    </row>
    <row r="85" spans="1:43" s="174" customFormat="1" ht="29.1" customHeight="1" thickBot="1">
      <c r="A85" s="173"/>
      <c r="B85" s="1372" t="s">
        <v>198</v>
      </c>
      <c r="C85" s="1373"/>
      <c r="D85" s="370"/>
      <c r="E85" s="528">
        <f t="shared" ref="E85:P85" si="33">+IF(E84&gt;0,"DRCI",D84+E83)</f>
        <v>-272848.37765759061</v>
      </c>
      <c r="F85" s="528">
        <f t="shared" si="33"/>
        <v>-1009709.645407283</v>
      </c>
      <c r="G85" s="528">
        <f t="shared" si="33"/>
        <v>-1231232.9452452548</v>
      </c>
      <c r="H85" s="528">
        <f>+IF(H84&gt;0,"DRCI",G84+H83)</f>
        <v>-1211359.8068658474</v>
      </c>
      <c r="I85" s="528">
        <f t="shared" si="33"/>
        <v>-1182919.1642608428</v>
      </c>
      <c r="J85" s="528">
        <f t="shared" si="33"/>
        <v>-1114302.9247807199</v>
      </c>
      <c r="K85" s="528">
        <f t="shared" si="33"/>
        <v>-999513.78557149251</v>
      </c>
      <c r="L85" s="528">
        <f t="shared" si="33"/>
        <v>-876084.16983070481</v>
      </c>
      <c r="M85" s="528">
        <f t="shared" si="33"/>
        <v>-711222.29847581987</v>
      </c>
      <c r="N85" s="528">
        <f t="shared" si="33"/>
        <v>-540254.70313038735</v>
      </c>
      <c r="O85" s="528">
        <f t="shared" si="33"/>
        <v>-363552.8301712859</v>
      </c>
      <c r="P85" s="528">
        <f t="shared" si="33"/>
        <v>-181466.59530909412</v>
      </c>
      <c r="Q85" s="529" t="str">
        <f>+IF(Q84&gt;0,"DRCI",P84+Q83)</f>
        <v>DRCI</v>
      </c>
      <c r="R85" s="530"/>
      <c r="S85" s="531"/>
      <c r="T85" s="531"/>
      <c r="U85" s="531"/>
      <c r="V85" s="531"/>
      <c r="W85" s="531"/>
      <c r="X85" s="531"/>
      <c r="Y85" s="531"/>
      <c r="Z85" s="531"/>
      <c r="AA85" s="532"/>
      <c r="AB85" s="157"/>
      <c r="AC85" s="157"/>
      <c r="AD85" s="157"/>
      <c r="AE85" s="157"/>
      <c r="AF85" s="157"/>
      <c r="AG85" s="157"/>
      <c r="AH85" s="157"/>
      <c r="AI85" s="157"/>
      <c r="AJ85" s="157"/>
      <c r="AK85" s="157"/>
      <c r="AL85" s="157"/>
      <c r="AM85" s="157"/>
      <c r="AN85" s="157"/>
      <c r="AO85" s="157"/>
      <c r="AP85" s="157"/>
      <c r="AQ85" s="157"/>
    </row>
    <row r="86" spans="1:43" s="94" customFormat="1" ht="14.45" customHeight="1">
      <c r="A86" s="138"/>
      <c r="B86" s="1385" t="s">
        <v>140</v>
      </c>
      <c r="C86" s="1386"/>
      <c r="D86" s="505"/>
      <c r="E86" s="523">
        <f>+E71/(1+'3-DONNEES DE BASE'!E100)^0</f>
        <v>-272848.37765759061</v>
      </c>
      <c r="F86" s="523">
        <f>+F71/(1+'3-DONNEES DE BASE'!F100)^1</f>
        <v>-773704.33113717695</v>
      </c>
      <c r="G86" s="523">
        <f>+G71/(1+'3-DONNEES DE BASE'!G100)^2</f>
        <v>-244229.43807136384</v>
      </c>
      <c r="H86" s="523">
        <f>+H71/(1+'3-DONNEES DE BASE'!E100)^3</f>
        <v>19873.13837940737</v>
      </c>
      <c r="I86" s="523">
        <f>+I71/(1+'3-DONNEES DE BASE'!E100)^4</f>
        <v>28440.642605004537</v>
      </c>
      <c r="J86" s="523">
        <f>+J71/(1+'3-DONNEES DE BASE'!E100)^5</f>
        <v>68616.239480122924</v>
      </c>
      <c r="K86" s="523">
        <f>+K71/(1+'3-DONNEES DE BASE'!E100)^6</f>
        <v>114789.13920922735</v>
      </c>
      <c r="L86" s="523">
        <f>+L71/(1+'3-DONNEES DE BASE'!E100)^7</f>
        <v>123429.61574078765</v>
      </c>
      <c r="M86" s="523">
        <f>+M71/(1+'3-DONNEES DE BASE'!E100)^8</f>
        <v>164861.8713548849</v>
      </c>
      <c r="N86" s="523">
        <f>+N71/(1+'3-DONNEES DE BASE'!E100)^9</f>
        <v>170967.59534543255</v>
      </c>
      <c r="O86" s="523">
        <f>+O71/(1+'3-DONNEES DE BASE'!E100)^10</f>
        <v>176701.87295910146</v>
      </c>
      <c r="P86" s="523">
        <f>+P71/(1+'3-DONNEES DE BASE'!E100)^11</f>
        <v>182086.23486219178</v>
      </c>
      <c r="Q86" s="523">
        <f>+Q71/(1+'3-DONNEES DE BASE'!E100)^12</f>
        <v>108714.66472211973</v>
      </c>
      <c r="R86" s="523">
        <f>+R71/(1+'3-DONNEES DE BASE'!E100)^13</f>
        <v>191885.35916354856</v>
      </c>
      <c r="S86" s="523">
        <f>+S71/(1+'3-DONNEES DE BASE'!E100)^14</f>
        <v>210630.80704663118</v>
      </c>
      <c r="T86" s="523">
        <f>+T71/(1+'3-DONNEES DE BASE'!E100)^15</f>
        <v>212862.4079850933</v>
      </c>
      <c r="U86" s="523">
        <f>+U71/(1+'3-DONNEES DE BASE'!E100)^16</f>
        <v>214987.74221220025</v>
      </c>
      <c r="V86" s="523">
        <f>+V71/(1+'3-DONNEES DE BASE'!E100)^17</f>
        <v>188191.06266095323</v>
      </c>
      <c r="W86" s="523">
        <f>+W71/(1+'3-DONNEES DE BASE'!E100)^18</f>
        <v>218939.61084310181</v>
      </c>
      <c r="X86" s="523">
        <f>+X71/(1+'3-DONNEES DE BASE'!E100)^19</f>
        <v>220775.55445792258</v>
      </c>
      <c r="Y86" s="523">
        <f>+Y71/(1+'3-DONNEES DE BASE'!E100)^20</f>
        <v>222524.07218632335</v>
      </c>
      <c r="Z86" s="523">
        <f>+Z71/(1+'3-DONNEES DE BASE'!E100)^21</f>
        <v>224189.32716575262</v>
      </c>
      <c r="AA86" s="524">
        <f>+AA71/(1+'3-DONNEES DE BASE'!E100)^22</f>
        <v>553878.48956642195</v>
      </c>
      <c r="AB86" s="157"/>
      <c r="AC86" s="157"/>
      <c r="AD86" s="157"/>
      <c r="AE86" s="157"/>
      <c r="AF86" s="157"/>
      <c r="AG86" s="157"/>
      <c r="AH86" s="157"/>
      <c r="AI86" s="157"/>
      <c r="AJ86" s="157"/>
      <c r="AK86" s="157"/>
      <c r="AL86" s="157"/>
      <c r="AM86" s="157"/>
      <c r="AN86" s="157"/>
      <c r="AO86" s="157"/>
      <c r="AP86" s="157"/>
      <c r="AQ86" s="157"/>
    </row>
    <row r="87" spans="1:43" s="94" customFormat="1" ht="20.100000000000001" customHeight="1">
      <c r="A87" s="138"/>
      <c r="B87" s="1387" t="s">
        <v>141</v>
      </c>
      <c r="C87" s="1388"/>
      <c r="D87" s="506"/>
      <c r="E87" s="533">
        <f>+E86</f>
        <v>-272848.37765759061</v>
      </c>
      <c r="F87" s="533">
        <f>+F86+E87</f>
        <v>-1046552.7087947675</v>
      </c>
      <c r="G87" s="533">
        <f>+G86+F87</f>
        <v>-1290782.1468661313</v>
      </c>
      <c r="H87" s="533">
        <f>+H86+G87</f>
        <v>-1270909.008486724</v>
      </c>
      <c r="I87" s="533">
        <f>+H87+I86</f>
        <v>-1242468.3658817194</v>
      </c>
      <c r="J87" s="533">
        <f t="shared" ref="J87:AA87" si="34">+J86+I87</f>
        <v>-1173852.1264015965</v>
      </c>
      <c r="K87" s="533">
        <f t="shared" si="34"/>
        <v>-1059062.9871923691</v>
      </c>
      <c r="L87" s="533">
        <f t="shared" si="34"/>
        <v>-935633.37145158136</v>
      </c>
      <c r="M87" s="533">
        <f t="shared" si="34"/>
        <v>-770771.50009669643</v>
      </c>
      <c r="N87" s="533">
        <f t="shared" si="34"/>
        <v>-599803.90475126391</v>
      </c>
      <c r="O87" s="533">
        <f t="shared" si="34"/>
        <v>-423102.03179216245</v>
      </c>
      <c r="P87" s="533">
        <f t="shared" si="34"/>
        <v>-241015.79692997067</v>
      </c>
      <c r="Q87" s="533">
        <f t="shared" si="34"/>
        <v>-132301.13220785093</v>
      </c>
      <c r="R87" s="533">
        <f t="shared" si="34"/>
        <v>59584.226955697639</v>
      </c>
      <c r="S87" s="533">
        <f t="shared" si="34"/>
        <v>270215.03400232882</v>
      </c>
      <c r="T87" s="533">
        <f t="shared" si="34"/>
        <v>483077.44198742212</v>
      </c>
      <c r="U87" s="533">
        <f t="shared" si="34"/>
        <v>698065.18419962237</v>
      </c>
      <c r="V87" s="533">
        <f t="shared" si="34"/>
        <v>886256.24686057563</v>
      </c>
      <c r="W87" s="533">
        <f t="shared" si="34"/>
        <v>1105195.8577036774</v>
      </c>
      <c r="X87" s="533">
        <f t="shared" si="34"/>
        <v>1325971.4121615998</v>
      </c>
      <c r="Y87" s="533">
        <f t="shared" si="34"/>
        <v>1548495.4843479232</v>
      </c>
      <c r="Z87" s="533">
        <f t="shared" si="34"/>
        <v>1772684.8115136758</v>
      </c>
      <c r="AA87" s="534">
        <f t="shared" si="34"/>
        <v>2326563.3010800979</v>
      </c>
      <c r="AB87" s="157"/>
      <c r="AC87" s="157"/>
      <c r="AD87" s="157"/>
      <c r="AE87" s="157"/>
      <c r="AF87" s="157"/>
      <c r="AG87" s="157"/>
      <c r="AH87" s="157"/>
      <c r="AI87" s="157"/>
      <c r="AJ87" s="157"/>
      <c r="AK87" s="157"/>
      <c r="AL87" s="157"/>
      <c r="AM87" s="157"/>
      <c r="AN87" s="157"/>
      <c r="AO87" s="157"/>
      <c r="AP87" s="157"/>
      <c r="AQ87" s="157"/>
    </row>
    <row r="88" spans="1:43" s="157" customFormat="1" ht="31.5" customHeight="1" thickBot="1">
      <c r="A88" s="173"/>
      <c r="B88" s="1370" t="s">
        <v>199</v>
      </c>
      <c r="C88" s="1371"/>
      <c r="D88" s="507"/>
      <c r="E88" s="528">
        <f t="shared" ref="E88:Q88" si="35">+IF(E87&gt;0,"DRCI",D87+E86)</f>
        <v>-272848.37765759061</v>
      </c>
      <c r="F88" s="528">
        <f t="shared" si="35"/>
        <v>-1046552.7087947675</v>
      </c>
      <c r="G88" s="528">
        <f t="shared" si="35"/>
        <v>-1290782.1468661313</v>
      </c>
      <c r="H88" s="528">
        <f t="shared" si="35"/>
        <v>-1270909.008486724</v>
      </c>
      <c r="I88" s="528">
        <f t="shared" si="35"/>
        <v>-1242468.3658817194</v>
      </c>
      <c r="J88" s="528">
        <f t="shared" si="35"/>
        <v>-1173852.1264015965</v>
      </c>
      <c r="K88" s="528">
        <f t="shared" si="35"/>
        <v>-1059062.9871923691</v>
      </c>
      <c r="L88" s="528">
        <f t="shared" si="35"/>
        <v>-935633.37145158136</v>
      </c>
      <c r="M88" s="528">
        <f t="shared" si="35"/>
        <v>-770771.50009669643</v>
      </c>
      <c r="N88" s="528">
        <f t="shared" si="35"/>
        <v>-599803.90475126391</v>
      </c>
      <c r="O88" s="528">
        <f t="shared" si="35"/>
        <v>-423102.03179216245</v>
      </c>
      <c r="P88" s="528">
        <f t="shared" si="35"/>
        <v>-241015.79692997067</v>
      </c>
      <c r="Q88" s="528">
        <f t="shared" si="35"/>
        <v>-132301.13220785093</v>
      </c>
      <c r="R88" s="535" t="str">
        <f>+IF(R87&gt;0,"DRCI",Q87+R86)</f>
        <v>DRCI</v>
      </c>
      <c r="S88" s="536" t="str">
        <f t="shared" ref="S88:AA88" si="36">+IF(S87&gt;0,"DRCI",R87+S86)</f>
        <v>DRCI</v>
      </c>
      <c r="T88" s="528" t="str">
        <f t="shared" si="36"/>
        <v>DRCI</v>
      </c>
      <c r="U88" s="528" t="str">
        <f t="shared" si="36"/>
        <v>DRCI</v>
      </c>
      <c r="V88" s="528" t="str">
        <f t="shared" si="36"/>
        <v>DRCI</v>
      </c>
      <c r="W88" s="528" t="str">
        <f t="shared" si="36"/>
        <v>DRCI</v>
      </c>
      <c r="X88" s="528" t="str">
        <f t="shared" si="36"/>
        <v>DRCI</v>
      </c>
      <c r="Y88" s="528" t="str">
        <f t="shared" si="36"/>
        <v>DRCI</v>
      </c>
      <c r="Z88" s="528" t="str">
        <f t="shared" si="36"/>
        <v>DRCI</v>
      </c>
      <c r="AA88" s="537" t="str">
        <f t="shared" si="36"/>
        <v>DRCI</v>
      </c>
    </row>
    <row r="89" spans="1:43" s="157" customFormat="1">
      <c r="A89" s="173"/>
      <c r="B89" s="214"/>
      <c r="C89" s="216"/>
      <c r="D89" s="215"/>
      <c r="E89" s="213"/>
      <c r="F89" s="213"/>
      <c r="G89" s="213"/>
      <c r="H89" s="213"/>
      <c r="J89" s="501"/>
      <c r="K89" s="501"/>
      <c r="L89" s="501"/>
      <c r="M89" s="501"/>
      <c r="N89" s="501"/>
      <c r="O89" s="501"/>
      <c r="P89" s="502"/>
      <c r="Q89" s="501"/>
      <c r="R89" s="501"/>
      <c r="S89" s="501"/>
      <c r="T89" s="501"/>
      <c r="U89" s="501"/>
      <c r="V89" s="501"/>
      <c r="W89" s="501"/>
      <c r="X89" s="501"/>
      <c r="Y89" s="501"/>
      <c r="Z89" s="501"/>
      <c r="AA89" s="501"/>
    </row>
    <row r="90" spans="1:43" s="157" customFormat="1" ht="15" customHeight="1" thickBot="1">
      <c r="A90" s="173"/>
      <c r="B90" s="214"/>
      <c r="C90" s="216"/>
      <c r="D90" s="215"/>
      <c r="E90" s="213"/>
      <c r="F90" s="213"/>
      <c r="G90" s="213"/>
      <c r="H90" s="213"/>
      <c r="I90" s="213"/>
      <c r="J90" s="503"/>
      <c r="K90" s="503"/>
      <c r="L90" s="503"/>
      <c r="M90" s="503"/>
      <c r="N90" s="503"/>
      <c r="O90" s="503"/>
      <c r="P90" s="503"/>
      <c r="Q90" s="503"/>
      <c r="R90" s="503"/>
      <c r="S90" s="503"/>
      <c r="T90" s="503"/>
      <c r="U90" s="503"/>
      <c r="V90" s="503"/>
      <c r="W90" s="503"/>
      <c r="X90" s="503"/>
      <c r="Y90" s="503"/>
      <c r="Z90" s="503"/>
      <c r="AA90" s="503"/>
    </row>
    <row r="91" spans="1:43" s="94" customFormat="1" ht="18.75">
      <c r="A91" s="138"/>
      <c r="B91" s="218" t="s">
        <v>186</v>
      </c>
      <c r="C91" s="219"/>
      <c r="D91" s="221" t="s">
        <v>65</v>
      </c>
      <c r="E91" s="220">
        <v>2020</v>
      </c>
      <c r="F91" s="220">
        <f>+E91+1</f>
        <v>2021</v>
      </c>
      <c r="G91" s="220">
        <f t="shared" ref="G91:AA91" si="37">+F91+1</f>
        <v>2022</v>
      </c>
      <c r="H91" s="220">
        <f t="shared" si="37"/>
        <v>2023</v>
      </c>
      <c r="I91" s="220">
        <f t="shared" si="37"/>
        <v>2024</v>
      </c>
      <c r="J91" s="220">
        <f t="shared" si="37"/>
        <v>2025</v>
      </c>
      <c r="K91" s="220">
        <f t="shared" si="37"/>
        <v>2026</v>
      </c>
      <c r="L91" s="220">
        <f t="shared" si="37"/>
        <v>2027</v>
      </c>
      <c r="M91" s="220">
        <f t="shared" si="37"/>
        <v>2028</v>
      </c>
      <c r="N91" s="220">
        <f t="shared" si="37"/>
        <v>2029</v>
      </c>
      <c r="O91" s="220">
        <f t="shared" si="37"/>
        <v>2030</v>
      </c>
      <c r="P91" s="337">
        <f t="shared" si="37"/>
        <v>2031</v>
      </c>
      <c r="Q91" s="220">
        <f t="shared" si="37"/>
        <v>2032</v>
      </c>
      <c r="R91" s="220">
        <f t="shared" si="37"/>
        <v>2033</v>
      </c>
      <c r="S91" s="220">
        <f t="shared" si="37"/>
        <v>2034</v>
      </c>
      <c r="T91" s="220">
        <f t="shared" si="37"/>
        <v>2035</v>
      </c>
      <c r="U91" s="220">
        <f t="shared" si="37"/>
        <v>2036</v>
      </c>
      <c r="V91" s="220">
        <f t="shared" si="37"/>
        <v>2037</v>
      </c>
      <c r="W91" s="220">
        <f t="shared" si="37"/>
        <v>2038</v>
      </c>
      <c r="X91" s="220">
        <f t="shared" si="37"/>
        <v>2039</v>
      </c>
      <c r="Y91" s="220">
        <f t="shared" si="37"/>
        <v>2040</v>
      </c>
      <c r="Z91" s="220">
        <f t="shared" si="37"/>
        <v>2041</v>
      </c>
      <c r="AA91" s="396">
        <f t="shared" si="37"/>
        <v>2042</v>
      </c>
      <c r="AB91" s="157"/>
      <c r="AC91" s="157"/>
      <c r="AD91" s="157"/>
      <c r="AE91" s="157"/>
      <c r="AF91" s="157"/>
      <c r="AG91" s="157"/>
      <c r="AH91" s="157"/>
      <c r="AI91" s="157"/>
      <c r="AJ91" s="157"/>
      <c r="AK91" s="157"/>
      <c r="AL91" s="157"/>
      <c r="AM91" s="157"/>
      <c r="AN91" s="157"/>
      <c r="AO91" s="157"/>
      <c r="AP91" s="157"/>
      <c r="AQ91" s="157"/>
    </row>
    <row r="92" spans="1:43" s="140" customFormat="1">
      <c r="A92" s="94"/>
      <c r="B92" s="133" t="s">
        <v>93</v>
      </c>
      <c r="C92" s="373"/>
      <c r="D92" s="74"/>
      <c r="E92" s="82">
        <f>+E61*'3-DONNEES DE BASE'!E88</f>
        <v>5677.3836232301601</v>
      </c>
      <c r="F92" s="82">
        <f>+E92+F61*'3-DONNEES DE BASE'!E88-F56*'3-DONNEES DE BASE'!E88</f>
        <v>21658.360499285358</v>
      </c>
      <c r="G92" s="82">
        <f>+F92+G61*'3-DONNEES DE BASE'!E88-G56*'3-DONNEES DE BASE'!E88</f>
        <v>26289.582431629708</v>
      </c>
      <c r="H92" s="82">
        <f>+(E61+F61+G61)*'3-DONNEES DE BASE'!E88</f>
        <v>26289.582431629708</v>
      </c>
      <c r="I92" s="82">
        <f>+H92+I61*'3-DONNEES DE BASE'!E88-I56*'3-DONNEES DE BASE'!E88</f>
        <v>23660.624188466736</v>
      </c>
      <c r="J92" s="82">
        <f>+I92+J61*'3-DONNEES DE BASE'!E88-J56*'3-DONNEES DE BASE'!E88</f>
        <v>21031.665945303765</v>
      </c>
      <c r="K92" s="82">
        <f>+J92+K61*'3-DONNEES DE BASE'!E88-K56*'3-DONNEES DE BASE'!E88</f>
        <v>18402.707702140793</v>
      </c>
      <c r="L92" s="82">
        <f>+K92+L61*'3-DONNEES DE BASE'!E88-L56*'3-DONNEES DE BASE'!E88</f>
        <v>15773.749458977822</v>
      </c>
      <c r="M92" s="82">
        <f>+L92+M61*'3-DONNEES DE BASE'!E88-M56*'3-DONNEES DE BASE'!E88</f>
        <v>13144.79121581485</v>
      </c>
      <c r="N92" s="82">
        <f>+M92+N61*'3-DONNEES DE BASE'!E88-N56*'3-DONNEES DE BASE'!E88</f>
        <v>10515.832972651879</v>
      </c>
      <c r="O92" s="82">
        <f>+N92+O61*'3-DONNEES DE BASE'!E88-O56*'3-DONNEES DE BASE'!E88</f>
        <v>7886.8747294889081</v>
      </c>
      <c r="P92" s="82">
        <f>+O92+P61*'3-DONNEES DE BASE'!E88-P56*'3-DONNEES DE BASE'!E88</f>
        <v>5257.9164863259375</v>
      </c>
      <c r="Q92" s="82">
        <f>+P92+Q61*'3-DONNEES DE BASE'!E88-Q56*'3-DONNEES DE BASE'!E88</f>
        <v>2628.9582431629669</v>
      </c>
      <c r="R92" s="82"/>
      <c r="S92" s="80"/>
      <c r="T92" s="80"/>
      <c r="U92" s="80"/>
      <c r="V92" s="80"/>
      <c r="W92" s="80"/>
      <c r="X92" s="80"/>
      <c r="Y92" s="80"/>
      <c r="Z92" s="80"/>
      <c r="AA92" s="170"/>
      <c r="AB92" s="157"/>
      <c r="AC92" s="157"/>
      <c r="AD92" s="157"/>
      <c r="AE92" s="157"/>
      <c r="AF92" s="157"/>
      <c r="AG92" s="157"/>
      <c r="AH92" s="157"/>
      <c r="AI92" s="157"/>
      <c r="AJ92" s="157"/>
      <c r="AK92" s="157"/>
      <c r="AL92" s="157"/>
      <c r="AM92" s="157"/>
      <c r="AN92" s="157"/>
      <c r="AO92" s="157"/>
      <c r="AP92" s="157"/>
      <c r="AQ92" s="157"/>
    </row>
    <row r="93" spans="1:43" s="140" customFormat="1">
      <c r="A93" s="94"/>
      <c r="B93" s="133" t="s">
        <v>116</v>
      </c>
      <c r="C93" s="373"/>
      <c r="D93" s="74"/>
      <c r="E93" s="82">
        <f>+E62*'3-DONNEES DE BASE'!E92</f>
        <v>0</v>
      </c>
      <c r="F93" s="82">
        <f>+E93+F62*'3-DONNEES DE BASE'!E92-F57*'3-DONNEES DE BASE'!E92</f>
        <v>0</v>
      </c>
      <c r="G93" s="82">
        <f>+F93+G62*'3-DONNEES DE BASE'!E92-G57*'3-DONNEES DE BASE'!E92</f>
        <v>0</v>
      </c>
      <c r="H93" s="82">
        <f>+G93+H62*'3-DONNEES DE BASE'!E92-H57*'3-DONNEES DE BASE'!E92</f>
        <v>0</v>
      </c>
      <c r="I93" s="82">
        <f>+H93+I62*'3-DONNEES DE BASE'!E92-I57*'3-DONNEES DE BASE'!E92</f>
        <v>0</v>
      </c>
      <c r="J93" s="82">
        <f>+I93+J62*'3-DONNEES DE BASE'!E92-J57*'3-DONNEES DE BASE'!E92</f>
        <v>0</v>
      </c>
      <c r="K93" s="82">
        <f>+J93+K62*'3-DONNEES DE BASE'!E88-K57*'3-DONNEES DE BASE'!E92</f>
        <v>0</v>
      </c>
      <c r="L93" s="82">
        <f>+K93+L62*'3-DONNEES DE BASE'!E92-L57*'3-DONNEES DE BASE'!E92</f>
        <v>0</v>
      </c>
      <c r="M93" s="82">
        <f>+L93+M62*'3-DONNEES DE BASE'!E92-M57*'3-DONNEES DE BASE'!E92</f>
        <v>0</v>
      </c>
      <c r="N93" s="82">
        <f>+M93+N62*'3-DONNEES DE BASE'!E92-N57*'3-DONNEES DE BASE'!E92</f>
        <v>0</v>
      </c>
      <c r="O93" s="82">
        <f>+N93+O62*'3-DONNEES DE BASE'!E92-O57*'3-DONNEES DE BASE'!E92</f>
        <v>0</v>
      </c>
      <c r="P93" s="82">
        <f>+O93+P62*'3-DONNEES DE BASE'!E92-P57*'3-DONNEES DE BASE'!E92</f>
        <v>0</v>
      </c>
      <c r="Q93" s="82">
        <f>+P93+Q62*'3-DONNEES DE BASE'!E92-Q57*'3-DONNEES DE BASE'!E92</f>
        <v>0</v>
      </c>
      <c r="R93" s="82"/>
      <c r="S93" s="82"/>
      <c r="T93" s="82"/>
      <c r="U93" s="80"/>
      <c r="V93" s="80"/>
      <c r="W93" s="80"/>
      <c r="X93" s="80"/>
      <c r="Y93" s="80"/>
      <c r="Z93" s="80"/>
      <c r="AA93" s="170"/>
      <c r="AB93" s="157"/>
      <c r="AC93" s="157"/>
      <c r="AD93" s="157"/>
      <c r="AE93" s="157"/>
      <c r="AF93" s="157"/>
      <c r="AG93" s="157"/>
      <c r="AH93" s="157"/>
      <c r="AI93" s="157"/>
      <c r="AJ93" s="157"/>
      <c r="AK93" s="157"/>
      <c r="AL93" s="157"/>
      <c r="AM93" s="157"/>
      <c r="AN93" s="157"/>
      <c r="AO93" s="157"/>
      <c r="AP93" s="157"/>
      <c r="AQ93" s="157"/>
    </row>
    <row r="94" spans="1:43" s="140" customFormat="1">
      <c r="A94" s="94"/>
      <c r="B94" s="133" t="s">
        <v>113</v>
      </c>
      <c r="C94" s="373"/>
      <c r="D94" s="74"/>
      <c r="E94" s="82"/>
      <c r="F94" s="82"/>
      <c r="G94" s="82"/>
      <c r="H94" s="82"/>
      <c r="I94" s="82">
        <f>+($E$61+$F$61+$G$61)/'3-DONNEES DE BASE'!$J$89</f>
        <v>30928.920507799652</v>
      </c>
      <c r="J94" s="82">
        <f>+($E$61+$F$61+$G$61)/'3-DONNEES DE BASE'!$J$89</f>
        <v>30928.920507799652</v>
      </c>
      <c r="K94" s="82">
        <f>+($E$61+$F$61+$G$61)/'3-DONNEES DE BASE'!$J$89</f>
        <v>30928.920507799652</v>
      </c>
      <c r="L94" s="82">
        <f>+($E$61+$F$61+$G$61)/'3-DONNEES DE BASE'!$J$89</f>
        <v>30928.920507799652</v>
      </c>
      <c r="M94" s="82">
        <f>+($E$61+$F$61+$G$61)/'3-DONNEES DE BASE'!$J$89</f>
        <v>30928.920507799652</v>
      </c>
      <c r="N94" s="82">
        <f>+($E$61+$F$61+$G$61)/'3-DONNEES DE BASE'!$J$89</f>
        <v>30928.920507799652</v>
      </c>
      <c r="O94" s="82">
        <f>+($E$61+$F$61+$G$61)/'3-DONNEES DE BASE'!$J$89</f>
        <v>30928.920507799652</v>
      </c>
      <c r="P94" s="82">
        <f>+($E$61+$F$61+$G$61)/'3-DONNEES DE BASE'!$J$89</f>
        <v>30928.920507799652</v>
      </c>
      <c r="Q94" s="82">
        <f>+(($E$61+$F$61+$G$61)/'3-DONNEES DE BASE'!$J$89)</f>
        <v>30928.920507799652</v>
      </c>
      <c r="R94" s="82">
        <f>+(($E$61+$F$61+$G$61)/'3-DONNEES DE BASE'!$J$89)</f>
        <v>30928.920507799652</v>
      </c>
      <c r="S94" s="82"/>
      <c r="T94" s="82"/>
      <c r="U94" s="82"/>
      <c r="V94" s="82"/>
      <c r="W94" s="82"/>
      <c r="X94" s="82"/>
      <c r="Y94" s="82"/>
      <c r="Z94" s="82"/>
      <c r="AA94" s="397"/>
      <c r="AB94" s="157"/>
      <c r="AC94" s="157"/>
      <c r="AD94" s="157"/>
      <c r="AE94" s="157"/>
      <c r="AF94" s="157"/>
      <c r="AG94" s="157"/>
      <c r="AH94" s="157"/>
      <c r="AI94" s="157"/>
      <c r="AJ94" s="157"/>
      <c r="AK94" s="157"/>
      <c r="AL94" s="157"/>
      <c r="AM94" s="157"/>
      <c r="AN94" s="157"/>
      <c r="AO94" s="157"/>
      <c r="AP94" s="157"/>
      <c r="AQ94" s="157"/>
    </row>
    <row r="95" spans="1:43" s="158" customFormat="1" ht="15.75" thickBot="1">
      <c r="A95" s="157"/>
      <c r="B95" s="374" t="s">
        <v>114</v>
      </c>
      <c r="C95" s="375"/>
      <c r="D95" s="376"/>
      <c r="E95" s="371">
        <f>IF(AND(E91&gt;'3-DONNEES DE BASE'!$E$112+'3-DONNEES DE BASE'!$J$94,E91&lt;'3-DONNEES DE BASE'!$E$112+'3-DONNEES DE BASE'!$J$93+'3-DONNEES DE BASE'!$J$94+1),+($E$62+$F$62+$G$62)/'3-DONNEES DE BASE'!$J$93,0)</f>
        <v>0</v>
      </c>
      <c r="F95" s="371">
        <f>IF(AND(F91&gt;'3-DONNEES DE BASE'!$E$112+'3-DONNEES DE BASE'!$J$94,F91&lt;'3-DONNEES DE BASE'!$E$112+'3-DONNEES DE BASE'!$J$93+'3-DONNEES DE BASE'!$J$94+1),+($E$62+$F$62+$G$62)/'3-DONNEES DE BASE'!$J$93,0)</f>
        <v>0</v>
      </c>
      <c r="G95" s="371">
        <f>IF(AND(G91&gt;'3-DONNEES DE BASE'!$E$112+'3-DONNEES DE BASE'!$J$94,G91&lt;'3-DONNEES DE BASE'!$E$112+'3-DONNEES DE BASE'!$J$93+'3-DONNEES DE BASE'!$J$94+1),+($E$62+$F$62+$G$62)/'3-DONNEES DE BASE'!$J$93,0)</f>
        <v>0</v>
      </c>
      <c r="H95" s="371">
        <f>IF(AND(H91&gt;'3-DONNEES DE BASE'!$E$112+'3-DONNEES DE BASE'!$J$94,H91&lt;'3-DONNEES DE BASE'!$E$112+'3-DONNEES DE BASE'!$J$93+'3-DONNEES DE BASE'!$J$94+1),+($E$62+$F$62+$G$62)/'3-DONNEES DE BASE'!$J$93,0)</f>
        <v>0</v>
      </c>
      <c r="I95" s="371">
        <f>IF(AND(I91&gt;'3-DONNEES DE BASE'!$E$112+'3-DONNEES DE BASE'!$J$94,I91&lt;'3-DONNEES DE BASE'!$E$112+'3-DONNEES DE BASE'!$J$93+'3-DONNEES DE BASE'!$J$94+1),+($E$62+$F$62+$G$62)/'3-DONNEES DE BASE'!$J$93,0)</f>
        <v>0</v>
      </c>
      <c r="J95" s="371">
        <f>IF(AND(J91&gt;'3-DONNEES DE BASE'!$E$112+'3-DONNEES DE BASE'!$J$94,J91&lt;'3-DONNEES DE BASE'!$E$112+'3-DONNEES DE BASE'!$J$93+'3-DONNEES DE BASE'!$J$94+1),+($E$62+$F$62+$G$62)/'3-DONNEES DE BASE'!$J$93,0)</f>
        <v>0</v>
      </c>
      <c r="K95" s="371">
        <f>IF(AND(K91&gt;'3-DONNEES DE BASE'!$E$112+'3-DONNEES DE BASE'!$J$94,K91&lt;'3-DONNEES DE BASE'!$E$112+'3-DONNEES DE BASE'!$J$93+'3-DONNEES DE BASE'!$J$94+1),+($E$62+$F$62+$G$62)/'3-DONNEES DE BASE'!$J$93,0)</f>
        <v>0</v>
      </c>
      <c r="L95" s="371">
        <f>IF(AND(L91&gt;'3-DONNEES DE BASE'!$E$112+'3-DONNEES DE BASE'!$J$94,L91&lt;'3-DONNEES DE BASE'!$E$112+'3-DONNEES DE BASE'!$J$93+'3-DONNEES DE BASE'!$J$94+1),+($E$62+$F$62+$G$62)/'3-DONNEES DE BASE'!$J$93,0)</f>
        <v>0</v>
      </c>
      <c r="M95" s="371">
        <f>IF(AND(M91&gt;'3-DONNEES DE BASE'!$E$112+'3-DONNEES DE BASE'!$J$94,M91&lt;'3-DONNEES DE BASE'!$E$112+'3-DONNEES DE BASE'!$J$93+'3-DONNEES DE BASE'!$J$94+1),+($E$62+$F$62+$G$62)/'3-DONNEES DE BASE'!$J$93,0)</f>
        <v>0</v>
      </c>
      <c r="N95" s="371">
        <f>IF(AND(N91&gt;'3-DONNEES DE BASE'!$E$112+'3-DONNEES DE BASE'!$J$94,N91&lt;'3-DONNEES DE BASE'!$E$112+'3-DONNEES DE BASE'!$J$93+'3-DONNEES DE BASE'!$J$94+1),+($E$62+$F$62+$G$62)/'3-DONNEES DE BASE'!$J$93,0)</f>
        <v>0</v>
      </c>
      <c r="O95" s="371">
        <f>IF(AND(O91&gt;'3-DONNEES DE BASE'!$E$112+'3-DONNEES DE BASE'!$J$94,O91&lt;'3-DONNEES DE BASE'!$E$112+'3-DONNEES DE BASE'!$J$93+'3-DONNEES DE BASE'!$J$94+1),+($E$62+$F$62+$G$62)/'3-DONNEES DE BASE'!$J$93,0)</f>
        <v>0</v>
      </c>
      <c r="P95" s="371">
        <f>IF(AND(P91&gt;'3-DONNEES DE BASE'!$E$112+'3-DONNEES DE BASE'!$J$94,P91&lt;'3-DONNEES DE BASE'!$E$112+'3-DONNEES DE BASE'!$J$93+'3-DONNEES DE BASE'!$J$94+1),+($E$62+$F$62+$G$62)/'3-DONNEES DE BASE'!$J$93,0)</f>
        <v>0</v>
      </c>
      <c r="Q95" s="371">
        <f>IF(AND(Q91&gt;'3-DONNEES DE BASE'!$E$112+'3-DONNEES DE BASE'!$J$94,Q91&lt;'3-DONNEES DE BASE'!$E$112+'3-DONNEES DE BASE'!$J$93+'3-DONNEES DE BASE'!$J$94+1),+($E$62+$F$62+$G$62)/'3-DONNEES DE BASE'!$J$93,0)</f>
        <v>0</v>
      </c>
      <c r="R95" s="371">
        <f>IF(AND(R91&gt;'3-DONNEES DE BASE'!$E$112+'3-DONNEES DE BASE'!$J$94,R91&lt;'3-DONNEES DE BASE'!$E$112+'3-DONNEES DE BASE'!$J$93+'3-DONNEES DE BASE'!$J$94+1),+($E$62+$F$62+$G$62)/'3-DONNEES DE BASE'!$J$93,0)</f>
        <v>0</v>
      </c>
      <c r="S95" s="371">
        <f>IF(AND(S91&gt;'3-DONNEES DE BASE'!$E$112+'3-DONNEES DE BASE'!$J$94,S91&lt;'3-DONNEES DE BASE'!$E$112+'3-DONNEES DE BASE'!$J$93+'3-DONNEES DE BASE'!$J$94+1),+($E$62+$F$62+$G$62)/'3-DONNEES DE BASE'!$J$93,0)</f>
        <v>0</v>
      </c>
      <c r="T95" s="371">
        <f>IF(AND(T91&gt;'3-DONNEES DE BASE'!$E$112+'3-DONNEES DE BASE'!$J$94,T91&lt;'3-DONNEES DE BASE'!$E$112+'3-DONNEES DE BASE'!$J$93+'3-DONNEES DE BASE'!$J$94+1),+($E$62+$F$62+$G$62)/'3-DONNEES DE BASE'!$J$93,0)</f>
        <v>0</v>
      </c>
      <c r="U95" s="371">
        <f>IF(AND(U91&gt;'3-DONNEES DE BASE'!$E$112+'3-DONNEES DE BASE'!$J$94,U91&lt;'3-DONNEES DE BASE'!$E$112+'3-DONNEES DE BASE'!$J$93+'3-DONNEES DE BASE'!$J$94+1),+($E$62+$F$62+$G$62)/'3-DONNEES DE BASE'!$J$93,0)</f>
        <v>0</v>
      </c>
      <c r="V95" s="371">
        <f>IF(AND(V91&gt;'3-DONNEES DE BASE'!$E$112+'3-DONNEES DE BASE'!$J$94,V91&lt;'3-DONNEES DE BASE'!$E$112+'3-DONNEES DE BASE'!$J$93+'3-DONNEES DE BASE'!$J$94+1),+($E$62+$F$62+$G$62)/'3-DONNEES DE BASE'!$J$93,0)</f>
        <v>0</v>
      </c>
      <c r="W95" s="371">
        <f>IF(AND(W91&gt;'3-DONNEES DE BASE'!$E$112+'3-DONNEES DE BASE'!$J$94,W91&lt;'3-DONNEES DE BASE'!$E$112+'3-DONNEES DE BASE'!$J$93+'3-DONNEES DE BASE'!$J$94+1),+($E$62+$F$62+$G$62)/'3-DONNEES DE BASE'!$J$93,0)</f>
        <v>0</v>
      </c>
      <c r="X95" s="371">
        <f>IF(AND(X91&gt;'3-DONNEES DE BASE'!$E$112+'3-DONNEES DE BASE'!$J$94,X91&lt;'3-DONNEES DE BASE'!$E$112+'3-DONNEES DE BASE'!$J$93+'3-DONNEES DE BASE'!$J$94+1),+($E$62+$F$62+$G$62)/'3-DONNEES DE BASE'!$J$93,0)</f>
        <v>0</v>
      </c>
      <c r="Y95" s="371">
        <f>IF(AND(Y91&gt;'3-DONNEES DE BASE'!$E$112+'3-DONNEES DE BASE'!$J$94,Y91&lt;'3-DONNEES DE BASE'!$E$112+'3-DONNEES DE BASE'!$J$93+'3-DONNEES DE BASE'!$J$94+1),+($E$62+$F$62+$G$62)/'3-DONNEES DE BASE'!$J$93,0)</f>
        <v>0</v>
      </c>
      <c r="Z95" s="371">
        <f>IF(AND(Z91&gt;'3-DONNEES DE BASE'!$E$112+'3-DONNEES DE BASE'!$J$94,Z91&lt;'3-DONNEES DE BASE'!$E$112+'3-DONNEES DE BASE'!$J$93+'3-DONNEES DE BASE'!$J$94+1),+($E$62+$F$62+$G$62)/'3-DONNEES DE BASE'!$J$93,0)</f>
        <v>0</v>
      </c>
      <c r="AA95" s="371">
        <f>IF(AND(AA91&gt;'3-DONNEES DE BASE'!$E$112+'3-DONNEES DE BASE'!$J$94,AA91&lt;'3-DONNEES DE BASE'!$E$112+'3-DONNEES DE BASE'!$J$93+'3-DONNEES DE BASE'!$J$94+1),+($E$62+$F$62+$G$62)/'3-DONNEES DE BASE'!$J$93,0)</f>
        <v>0</v>
      </c>
      <c r="AB95" s="157"/>
      <c r="AC95" s="157"/>
      <c r="AD95" s="157"/>
      <c r="AE95" s="157"/>
      <c r="AF95" s="157"/>
      <c r="AG95" s="157"/>
      <c r="AH95" s="157"/>
      <c r="AI95" s="157"/>
      <c r="AJ95" s="157"/>
      <c r="AK95" s="157"/>
      <c r="AL95" s="157"/>
      <c r="AM95" s="157"/>
      <c r="AN95" s="157"/>
      <c r="AO95" s="157"/>
      <c r="AP95" s="157"/>
      <c r="AQ95" s="157"/>
    </row>
    <row r="96" spans="1:43">
      <c r="B96" s="217"/>
      <c r="C96" s="17"/>
      <c r="D96" s="17"/>
      <c r="E96" s="17"/>
      <c r="F96" s="17"/>
      <c r="G96" s="17"/>
      <c r="H96" s="17"/>
      <c r="I96" s="17"/>
      <c r="J96" s="17"/>
      <c r="K96" s="17"/>
      <c r="L96" s="17"/>
      <c r="M96" s="17"/>
      <c r="N96" s="17"/>
      <c r="O96" s="17"/>
      <c r="P96" s="17"/>
      <c r="Q96" s="17"/>
      <c r="R96" s="77"/>
      <c r="S96" s="77"/>
      <c r="T96" s="77"/>
      <c r="U96" s="77"/>
      <c r="V96" s="77"/>
    </row>
    <row r="97" spans="2:22">
      <c r="B97" s="217"/>
      <c r="C97" s="17"/>
      <c r="D97" s="17"/>
      <c r="E97" s="17"/>
      <c r="F97" s="17"/>
      <c r="G97" s="17"/>
      <c r="H97" s="17"/>
      <c r="I97" s="17"/>
      <c r="J97" s="17"/>
      <c r="K97" s="17"/>
      <c r="L97" s="17"/>
      <c r="M97" s="17"/>
      <c r="N97" s="17"/>
      <c r="O97" s="17"/>
      <c r="P97" s="17"/>
      <c r="Q97" s="17"/>
      <c r="R97" s="77"/>
      <c r="S97" s="77"/>
      <c r="T97" s="77"/>
      <c r="U97" s="77"/>
      <c r="V97" s="77"/>
    </row>
    <row r="98" spans="2:22">
      <c r="B98" s="217"/>
      <c r="C98" s="17"/>
      <c r="D98" s="17"/>
      <c r="E98" s="17"/>
      <c r="F98" s="17"/>
      <c r="G98" s="17"/>
      <c r="H98" s="17"/>
      <c r="I98" s="17"/>
      <c r="J98" s="17"/>
      <c r="K98" s="17"/>
      <c r="L98" s="17"/>
      <c r="M98" s="17"/>
      <c r="N98" s="17"/>
      <c r="O98" s="17"/>
      <c r="P98" s="17"/>
      <c r="Q98" s="17"/>
      <c r="R98" s="77"/>
      <c r="S98" s="77"/>
      <c r="T98" s="77"/>
      <c r="U98" s="77"/>
      <c r="V98" s="77"/>
    </row>
    <row r="99" spans="2:22">
      <c r="B99" s="217"/>
      <c r="C99" s="17"/>
      <c r="D99" s="17"/>
      <c r="E99" s="17"/>
      <c r="F99" s="17"/>
      <c r="G99" s="17"/>
      <c r="H99" s="17"/>
      <c r="I99" s="17"/>
      <c r="J99" s="17"/>
      <c r="K99" s="17"/>
      <c r="L99" s="17"/>
      <c r="M99" s="17"/>
      <c r="N99" s="17"/>
      <c r="O99" s="17"/>
      <c r="P99" s="17"/>
      <c r="Q99" s="17"/>
      <c r="R99" s="77"/>
      <c r="S99" s="77"/>
      <c r="T99" s="77"/>
      <c r="U99" s="77"/>
      <c r="V99" s="77"/>
    </row>
    <row r="100" spans="2:22">
      <c r="B100" s="217"/>
      <c r="C100" s="17"/>
      <c r="D100" s="17"/>
      <c r="E100" s="17"/>
      <c r="F100" s="17"/>
      <c r="G100" s="17"/>
      <c r="H100" s="17"/>
      <c r="I100" s="17"/>
      <c r="J100" s="17"/>
      <c r="K100" s="17"/>
      <c r="L100" s="17"/>
      <c r="M100" s="17"/>
      <c r="N100" s="17"/>
      <c r="O100" s="17"/>
      <c r="P100" s="17"/>
      <c r="Q100" s="17"/>
      <c r="R100" s="77"/>
      <c r="S100" s="77"/>
      <c r="T100" s="77"/>
      <c r="U100" s="77"/>
      <c r="V100" s="77"/>
    </row>
    <row r="101" spans="2:22">
      <c r="B101" s="217"/>
      <c r="C101" s="17"/>
      <c r="D101" s="17"/>
      <c r="E101" s="17"/>
      <c r="F101" s="17"/>
      <c r="G101" s="17"/>
      <c r="H101" s="17"/>
      <c r="I101" s="17"/>
      <c r="J101" s="17"/>
      <c r="K101" s="17"/>
      <c r="L101" s="17"/>
      <c r="M101" s="17"/>
      <c r="N101" s="17"/>
      <c r="O101" s="17"/>
      <c r="P101" s="17"/>
      <c r="Q101" s="17"/>
      <c r="R101" s="77"/>
      <c r="S101" s="77"/>
      <c r="T101" s="77"/>
      <c r="U101" s="77"/>
      <c r="V101" s="77"/>
    </row>
    <row r="102" spans="2:22">
      <c r="B102" s="217"/>
      <c r="C102" s="17"/>
      <c r="D102" s="17"/>
      <c r="E102" s="17"/>
      <c r="F102" s="17"/>
      <c r="G102" s="17"/>
      <c r="H102" s="17"/>
      <c r="I102" s="17"/>
      <c r="J102" s="17"/>
      <c r="K102" s="17"/>
      <c r="L102" s="17"/>
      <c r="M102" s="17"/>
      <c r="N102" s="17"/>
      <c r="O102" s="17"/>
      <c r="P102" s="17"/>
      <c r="Q102" s="17"/>
      <c r="R102" s="77"/>
      <c r="S102" s="77"/>
      <c r="T102" s="77"/>
      <c r="U102" s="77"/>
      <c r="V102" s="77"/>
    </row>
    <row r="103" spans="2:22">
      <c r="B103" s="217"/>
      <c r="C103" s="17"/>
      <c r="D103" s="17"/>
      <c r="E103" s="17"/>
      <c r="F103" s="17"/>
      <c r="G103" s="17"/>
      <c r="H103" s="17"/>
      <c r="I103" s="17"/>
      <c r="J103" s="17"/>
      <c r="K103" s="17"/>
      <c r="L103" s="17"/>
      <c r="M103" s="17"/>
      <c r="N103" s="17"/>
      <c r="O103" s="17"/>
      <c r="P103" s="17"/>
      <c r="Q103" s="17"/>
      <c r="R103" s="77"/>
      <c r="S103" s="77"/>
      <c r="T103" s="77"/>
      <c r="U103" s="77"/>
      <c r="V103" s="77"/>
    </row>
    <row r="104" spans="2:22">
      <c r="B104" s="217"/>
      <c r="C104" s="17"/>
      <c r="D104" s="17"/>
      <c r="E104" s="17"/>
      <c r="F104" s="17"/>
      <c r="G104" s="17"/>
      <c r="H104" s="17"/>
      <c r="I104" s="17"/>
      <c r="J104" s="17"/>
      <c r="K104" s="17"/>
      <c r="L104" s="17"/>
      <c r="M104" s="17"/>
      <c r="N104" s="17"/>
      <c r="O104" s="17"/>
      <c r="P104" s="17"/>
      <c r="Q104" s="17"/>
      <c r="R104" s="77"/>
      <c r="S104" s="77"/>
      <c r="T104" s="77"/>
      <c r="U104" s="77"/>
      <c r="V104" s="77"/>
    </row>
    <row r="105" spans="2:22">
      <c r="B105" s="217"/>
      <c r="C105" s="17"/>
      <c r="D105" s="17"/>
      <c r="E105" s="17"/>
      <c r="F105" s="17"/>
      <c r="G105" s="17"/>
      <c r="H105" s="17"/>
      <c r="I105" s="17"/>
      <c r="J105" s="17"/>
      <c r="K105" s="17"/>
      <c r="L105" s="17"/>
      <c r="M105" s="17"/>
      <c r="N105" s="17"/>
      <c r="O105" s="17"/>
      <c r="P105" s="17"/>
      <c r="Q105" s="17"/>
      <c r="R105" s="77"/>
      <c r="S105" s="77"/>
      <c r="T105" s="77"/>
      <c r="U105" s="77"/>
      <c r="V105" s="77"/>
    </row>
    <row r="106" spans="2:22">
      <c r="B106" s="217"/>
      <c r="C106" s="17"/>
      <c r="D106" s="17"/>
      <c r="E106" s="17"/>
      <c r="F106" s="17"/>
      <c r="G106" s="17"/>
      <c r="H106" s="17"/>
      <c r="I106" s="17"/>
      <c r="J106" s="17"/>
      <c r="K106" s="17"/>
      <c r="L106" s="17"/>
      <c r="M106" s="17"/>
      <c r="N106" s="17"/>
      <c r="O106" s="17"/>
      <c r="P106" s="17"/>
      <c r="Q106" s="17"/>
      <c r="R106" s="77"/>
      <c r="S106" s="77"/>
      <c r="T106" s="77"/>
      <c r="U106" s="77"/>
      <c r="V106" s="77"/>
    </row>
    <row r="107" spans="2:22">
      <c r="B107" s="217"/>
      <c r="C107" s="17"/>
      <c r="D107" s="17"/>
      <c r="E107" s="17"/>
      <c r="F107" s="17"/>
      <c r="G107" s="17"/>
      <c r="H107" s="17"/>
      <c r="I107" s="17"/>
      <c r="J107" s="17"/>
      <c r="K107" s="17"/>
      <c r="L107" s="17"/>
      <c r="M107" s="17"/>
      <c r="N107" s="17"/>
      <c r="O107" s="17"/>
      <c r="P107" s="17"/>
      <c r="Q107" s="17"/>
      <c r="R107" s="77"/>
      <c r="S107" s="77"/>
      <c r="T107" s="77"/>
      <c r="U107" s="77"/>
      <c r="V107" s="77"/>
    </row>
    <row r="108" spans="2:22">
      <c r="B108" s="217"/>
      <c r="C108" s="17"/>
      <c r="D108" s="17"/>
      <c r="E108" s="17"/>
      <c r="F108" s="17"/>
      <c r="G108" s="17"/>
      <c r="H108" s="17"/>
      <c r="I108" s="17"/>
      <c r="J108" s="17"/>
      <c r="K108" s="17"/>
      <c r="L108" s="17"/>
      <c r="M108" s="17"/>
      <c r="N108" s="17"/>
      <c r="O108" s="17"/>
      <c r="P108" s="17"/>
      <c r="Q108" s="17"/>
      <c r="R108" s="77"/>
      <c r="S108" s="77"/>
      <c r="T108" s="77"/>
      <c r="U108" s="77"/>
      <c r="V108" s="77"/>
    </row>
    <row r="109" spans="2:22">
      <c r="B109" s="217"/>
      <c r="C109" s="17"/>
      <c r="D109" s="17"/>
      <c r="E109" s="17"/>
      <c r="F109" s="17"/>
      <c r="G109" s="17"/>
      <c r="H109" s="17"/>
      <c r="I109" s="17"/>
      <c r="J109" s="17"/>
      <c r="K109" s="17"/>
      <c r="L109" s="17"/>
      <c r="M109" s="17"/>
      <c r="N109" s="17"/>
      <c r="O109" s="17"/>
      <c r="P109" s="17"/>
      <c r="Q109" s="17"/>
      <c r="R109" s="77"/>
      <c r="S109" s="77"/>
      <c r="T109" s="77"/>
      <c r="U109" s="77"/>
      <c r="V109" s="77"/>
    </row>
    <row r="110" spans="2:22">
      <c r="B110" s="217"/>
      <c r="C110" s="17"/>
      <c r="D110" s="17"/>
      <c r="E110" s="17"/>
      <c r="F110" s="17"/>
      <c r="G110" s="17"/>
      <c r="H110" s="17"/>
      <c r="I110" s="17"/>
      <c r="J110" s="17"/>
      <c r="K110" s="17"/>
      <c r="L110" s="17"/>
      <c r="M110" s="17"/>
      <c r="N110" s="17"/>
      <c r="O110" s="17"/>
      <c r="P110" s="17"/>
      <c r="Q110" s="17"/>
      <c r="R110" s="77"/>
      <c r="S110" s="77"/>
      <c r="T110" s="77"/>
      <c r="U110" s="77"/>
      <c r="V110" s="77"/>
    </row>
    <row r="111" spans="2:22">
      <c r="B111" s="217"/>
      <c r="C111" s="17"/>
      <c r="D111" s="17"/>
      <c r="E111" s="17"/>
      <c r="F111" s="17"/>
      <c r="G111" s="17"/>
      <c r="H111" s="17"/>
      <c r="I111" s="17"/>
      <c r="J111" s="17"/>
      <c r="K111" s="17"/>
      <c r="L111" s="17"/>
      <c r="M111" s="17"/>
      <c r="N111" s="17"/>
      <c r="O111" s="17"/>
      <c r="P111" s="17"/>
      <c r="Q111" s="17"/>
      <c r="R111" s="77"/>
      <c r="S111" s="77"/>
      <c r="T111" s="77"/>
      <c r="U111" s="77"/>
      <c r="V111" s="77"/>
    </row>
    <row r="112" spans="2:22">
      <c r="B112" s="217"/>
      <c r="C112" s="17"/>
      <c r="D112" s="17"/>
      <c r="E112" s="17"/>
      <c r="F112" s="17"/>
      <c r="G112" s="17"/>
      <c r="H112" s="17"/>
      <c r="I112" s="17"/>
      <c r="J112" s="17"/>
      <c r="K112" s="17"/>
      <c r="L112" s="17"/>
      <c r="M112" s="17"/>
      <c r="N112" s="17"/>
      <c r="O112" s="17"/>
      <c r="P112" s="17"/>
      <c r="Q112" s="17"/>
      <c r="R112" s="77"/>
      <c r="S112" s="77"/>
      <c r="T112" s="77"/>
      <c r="U112" s="77"/>
      <c r="V112" s="77"/>
    </row>
    <row r="113" spans="2:22">
      <c r="B113" s="217"/>
      <c r="C113" s="17"/>
      <c r="D113" s="17"/>
      <c r="E113" s="17"/>
      <c r="F113" s="17"/>
      <c r="G113" s="17"/>
      <c r="H113" s="17"/>
      <c r="I113" s="17"/>
      <c r="J113" s="17"/>
      <c r="K113" s="17"/>
      <c r="L113" s="17"/>
      <c r="M113" s="17"/>
      <c r="N113" s="17"/>
      <c r="O113" s="17"/>
      <c r="P113" s="17"/>
      <c r="Q113" s="17"/>
      <c r="R113" s="77"/>
      <c r="S113" s="77"/>
      <c r="T113" s="77"/>
      <c r="U113" s="77"/>
      <c r="V113" s="77"/>
    </row>
    <row r="114" spans="2:22">
      <c r="B114" s="217"/>
      <c r="C114" s="17"/>
      <c r="D114" s="17"/>
      <c r="E114" s="17"/>
      <c r="F114" s="17"/>
      <c r="G114" s="17"/>
      <c r="H114" s="17"/>
      <c r="I114" s="17"/>
      <c r="J114" s="17"/>
      <c r="K114" s="17"/>
      <c r="L114" s="17"/>
      <c r="M114" s="17"/>
      <c r="N114" s="17"/>
      <c r="O114" s="17"/>
      <c r="P114" s="17"/>
      <c r="Q114" s="17"/>
      <c r="R114" s="77"/>
      <c r="S114" s="77"/>
      <c r="T114" s="77"/>
      <c r="U114" s="77"/>
      <c r="V114" s="77"/>
    </row>
    <row r="115" spans="2:22">
      <c r="C115" s="17"/>
      <c r="D115" s="17"/>
      <c r="E115" s="17"/>
      <c r="F115" s="17"/>
      <c r="G115" s="17"/>
      <c r="H115" s="17"/>
      <c r="I115" s="17"/>
      <c r="J115" s="17"/>
      <c r="K115" s="17"/>
      <c r="L115" s="17"/>
      <c r="M115" s="17"/>
      <c r="N115" s="17"/>
      <c r="O115" s="17"/>
      <c r="P115" s="17"/>
      <c r="Q115" s="17"/>
    </row>
    <row r="116" spans="2:22">
      <c r="C116" s="17"/>
      <c r="D116" s="17"/>
      <c r="E116" s="17"/>
      <c r="F116" s="17"/>
      <c r="G116" s="17"/>
      <c r="H116" s="17"/>
      <c r="I116" s="17"/>
      <c r="J116" s="17"/>
      <c r="K116" s="17"/>
      <c r="L116" s="17"/>
      <c r="M116" s="17"/>
      <c r="N116" s="17"/>
      <c r="O116" s="17"/>
      <c r="P116" s="17"/>
      <c r="Q116" s="17"/>
    </row>
    <row r="117" spans="2:22">
      <c r="C117" s="17"/>
      <c r="D117" s="17"/>
      <c r="E117" s="17"/>
      <c r="F117" s="17"/>
      <c r="G117" s="17"/>
      <c r="H117" s="17"/>
      <c r="I117" s="17"/>
      <c r="J117" s="17"/>
      <c r="K117" s="17"/>
      <c r="L117" s="17"/>
      <c r="M117" s="17"/>
      <c r="N117" s="17"/>
      <c r="O117" s="17"/>
      <c r="P117" s="17"/>
      <c r="Q117" s="17"/>
    </row>
    <row r="118" spans="2:22">
      <c r="C118" s="17"/>
      <c r="D118" s="17"/>
      <c r="E118" s="17"/>
      <c r="F118" s="17"/>
      <c r="G118" s="17"/>
      <c r="H118" s="17"/>
      <c r="I118" s="17"/>
      <c r="J118" s="17"/>
      <c r="K118" s="17"/>
      <c r="L118" s="17"/>
      <c r="M118" s="17"/>
      <c r="N118" s="17"/>
      <c r="O118" s="17"/>
      <c r="P118" s="17"/>
      <c r="Q118" s="17"/>
    </row>
    <row r="119" spans="2:22">
      <c r="C119" s="17"/>
      <c r="D119" s="17"/>
      <c r="E119" s="17"/>
      <c r="F119" s="17"/>
      <c r="G119" s="17"/>
      <c r="H119" s="17"/>
      <c r="I119" s="17"/>
      <c r="J119" s="17"/>
      <c r="K119" s="17"/>
      <c r="L119" s="17"/>
      <c r="M119" s="17"/>
      <c r="N119" s="17"/>
      <c r="O119" s="17"/>
      <c r="P119" s="17"/>
      <c r="Q119" s="17"/>
    </row>
    <row r="120" spans="2:22">
      <c r="C120" s="17"/>
      <c r="D120" s="17"/>
      <c r="E120" s="17"/>
      <c r="F120" s="17"/>
      <c r="G120" s="17"/>
      <c r="H120" s="17"/>
      <c r="I120" s="17"/>
      <c r="J120" s="17"/>
      <c r="K120" s="17"/>
      <c r="L120" s="17"/>
      <c r="M120" s="17"/>
      <c r="N120" s="17"/>
      <c r="O120" s="17"/>
      <c r="P120" s="17"/>
      <c r="Q120" s="17"/>
    </row>
    <row r="121" spans="2:22">
      <c r="C121" s="17"/>
      <c r="D121" s="17"/>
      <c r="E121" s="17"/>
      <c r="F121" s="17"/>
      <c r="G121" s="17"/>
      <c r="H121" s="17"/>
      <c r="I121" s="17"/>
      <c r="J121" s="17"/>
      <c r="K121" s="17"/>
      <c r="L121" s="17"/>
      <c r="M121" s="17"/>
      <c r="N121" s="17"/>
      <c r="O121" s="17"/>
      <c r="P121" s="17"/>
      <c r="Q121" s="17"/>
    </row>
    <row r="122" spans="2:22">
      <c r="C122" s="17"/>
      <c r="D122" s="17"/>
      <c r="E122" s="17"/>
      <c r="F122" s="17"/>
      <c r="G122" s="17"/>
      <c r="H122" s="17"/>
      <c r="I122" s="17"/>
      <c r="J122" s="17"/>
      <c r="K122" s="17"/>
      <c r="L122" s="17"/>
      <c r="M122" s="17"/>
      <c r="N122" s="17"/>
      <c r="O122" s="17"/>
      <c r="P122" s="17"/>
      <c r="Q122" s="17"/>
    </row>
    <row r="123" spans="2:22">
      <c r="C123" s="17"/>
      <c r="D123" s="17"/>
      <c r="E123" s="17"/>
      <c r="F123" s="17"/>
      <c r="G123" s="17"/>
      <c r="H123" s="17"/>
      <c r="I123" s="17"/>
      <c r="J123" s="17"/>
      <c r="K123" s="17"/>
      <c r="L123" s="17"/>
      <c r="M123" s="17"/>
      <c r="N123" s="17"/>
      <c r="O123" s="17"/>
      <c r="P123" s="17"/>
      <c r="Q123" s="17"/>
    </row>
    <row r="124" spans="2:22">
      <c r="C124" s="17"/>
      <c r="D124" s="17"/>
      <c r="E124" s="17"/>
      <c r="F124" s="17"/>
      <c r="G124" s="17"/>
      <c r="H124" s="17"/>
      <c r="I124" s="17"/>
      <c r="J124" s="17"/>
      <c r="K124" s="17"/>
      <c r="L124" s="17"/>
      <c r="M124" s="17"/>
      <c r="N124" s="17"/>
      <c r="O124" s="17"/>
      <c r="P124" s="17"/>
      <c r="Q124" s="17"/>
    </row>
    <row r="125" spans="2:22">
      <c r="C125" s="17"/>
      <c r="D125" s="17"/>
      <c r="E125" s="17"/>
      <c r="F125" s="17"/>
      <c r="G125" s="17"/>
      <c r="H125" s="17"/>
      <c r="I125" s="17"/>
      <c r="J125" s="17"/>
      <c r="K125" s="17"/>
      <c r="L125" s="17"/>
      <c r="M125" s="17"/>
      <c r="N125" s="17"/>
      <c r="O125" s="17"/>
      <c r="P125" s="17"/>
      <c r="Q125" s="17"/>
    </row>
    <row r="126" spans="2:22">
      <c r="C126" s="17"/>
      <c r="D126" s="17"/>
      <c r="E126" s="17"/>
      <c r="F126" s="17"/>
      <c r="G126" s="17"/>
      <c r="H126" s="17"/>
      <c r="I126" s="17"/>
      <c r="J126" s="17"/>
      <c r="K126" s="17"/>
      <c r="L126" s="17"/>
      <c r="M126" s="17"/>
      <c r="N126" s="17"/>
      <c r="O126" s="17"/>
      <c r="P126" s="17"/>
      <c r="Q126" s="17"/>
    </row>
    <row r="127" spans="2:22">
      <c r="C127" s="17"/>
      <c r="D127" s="17"/>
      <c r="E127" s="17"/>
      <c r="F127" s="17"/>
      <c r="G127" s="17"/>
      <c r="H127" s="17"/>
      <c r="I127" s="17"/>
      <c r="J127" s="17"/>
      <c r="K127" s="17"/>
      <c r="L127" s="17"/>
      <c r="M127" s="17"/>
      <c r="N127" s="17"/>
      <c r="O127" s="17"/>
      <c r="P127" s="17"/>
      <c r="Q127" s="17"/>
    </row>
    <row r="128" spans="2:22">
      <c r="C128" s="17"/>
      <c r="D128" s="17"/>
      <c r="E128" s="17"/>
      <c r="F128" s="17"/>
      <c r="G128" s="17"/>
      <c r="H128" s="17"/>
      <c r="I128" s="17"/>
      <c r="J128" s="17"/>
      <c r="K128" s="17"/>
      <c r="L128" s="17"/>
      <c r="M128" s="17"/>
      <c r="N128" s="17"/>
      <c r="O128" s="17"/>
      <c r="P128" s="17"/>
      <c r="Q128" s="17"/>
    </row>
    <row r="129" spans="3:17">
      <c r="C129" s="17"/>
      <c r="D129" s="17"/>
      <c r="E129" s="17"/>
      <c r="F129" s="17"/>
      <c r="G129" s="17"/>
      <c r="H129" s="17"/>
      <c r="I129" s="17"/>
      <c r="J129" s="17"/>
      <c r="K129" s="17"/>
      <c r="L129" s="17"/>
      <c r="M129" s="17"/>
      <c r="N129" s="17"/>
      <c r="O129" s="17"/>
      <c r="P129" s="17"/>
      <c r="Q129" s="17"/>
    </row>
    <row r="130" spans="3:17">
      <c r="C130" s="17"/>
      <c r="D130" s="17"/>
      <c r="E130" s="17"/>
      <c r="F130" s="17"/>
      <c r="G130" s="17"/>
      <c r="H130" s="17"/>
      <c r="I130" s="17"/>
      <c r="J130" s="17"/>
      <c r="K130" s="17"/>
      <c r="L130" s="17"/>
      <c r="M130" s="17"/>
      <c r="N130" s="17"/>
      <c r="O130" s="17"/>
      <c r="P130" s="17"/>
      <c r="Q130" s="17"/>
    </row>
    <row r="131" spans="3:17">
      <c r="C131" s="17"/>
      <c r="D131" s="17"/>
      <c r="E131" s="17"/>
      <c r="F131" s="17"/>
      <c r="G131" s="17"/>
      <c r="H131" s="17"/>
      <c r="I131" s="17"/>
      <c r="J131" s="17"/>
      <c r="K131" s="17"/>
      <c r="L131" s="17"/>
      <c r="M131" s="17"/>
      <c r="N131" s="17"/>
      <c r="O131" s="17"/>
      <c r="P131" s="17"/>
      <c r="Q131" s="17"/>
    </row>
    <row r="132" spans="3:17">
      <c r="C132" s="17"/>
      <c r="D132" s="17"/>
      <c r="E132" s="17"/>
      <c r="F132" s="17"/>
      <c r="G132" s="17"/>
      <c r="H132" s="17"/>
      <c r="I132" s="17"/>
      <c r="J132" s="17"/>
      <c r="K132" s="17"/>
      <c r="L132" s="17"/>
      <c r="M132" s="17"/>
      <c r="N132" s="17"/>
      <c r="O132" s="17"/>
      <c r="P132" s="17"/>
      <c r="Q132" s="17"/>
    </row>
    <row r="133" spans="3:17">
      <c r="C133" s="17"/>
      <c r="D133" s="17"/>
      <c r="E133" s="17"/>
      <c r="F133" s="17"/>
      <c r="G133" s="17"/>
      <c r="H133" s="17"/>
      <c r="I133" s="17"/>
      <c r="J133" s="17"/>
      <c r="K133" s="17"/>
      <c r="L133" s="17"/>
      <c r="M133" s="17"/>
      <c r="N133" s="17"/>
      <c r="O133" s="17"/>
      <c r="P133" s="17"/>
      <c r="Q133" s="17"/>
    </row>
    <row r="134" spans="3:17">
      <c r="C134" s="17"/>
      <c r="D134" s="17"/>
      <c r="E134" s="17"/>
      <c r="F134" s="17"/>
      <c r="G134" s="17"/>
      <c r="H134" s="17"/>
      <c r="I134" s="17"/>
      <c r="J134" s="17"/>
      <c r="K134" s="17"/>
      <c r="L134" s="17"/>
      <c r="M134" s="17"/>
      <c r="N134" s="17"/>
      <c r="O134" s="17"/>
      <c r="P134" s="17"/>
      <c r="Q134" s="17"/>
    </row>
    <row r="135" spans="3:17">
      <c r="C135" s="17"/>
      <c r="D135" s="17"/>
      <c r="E135" s="17"/>
      <c r="F135" s="17"/>
      <c r="G135" s="17"/>
      <c r="H135" s="17"/>
      <c r="I135" s="17"/>
      <c r="J135" s="17"/>
      <c r="K135" s="17"/>
      <c r="L135" s="17"/>
      <c r="M135" s="17"/>
      <c r="N135" s="17"/>
      <c r="O135" s="17"/>
      <c r="P135" s="17"/>
      <c r="Q135" s="17"/>
    </row>
    <row r="136" spans="3:17">
      <c r="C136" s="17"/>
      <c r="D136" s="17"/>
      <c r="E136" s="17"/>
      <c r="F136" s="17"/>
      <c r="G136" s="17"/>
      <c r="H136" s="17"/>
      <c r="I136" s="17"/>
      <c r="J136" s="17"/>
      <c r="K136" s="17"/>
      <c r="L136" s="17"/>
      <c r="M136" s="17"/>
      <c r="N136" s="17"/>
      <c r="O136" s="17"/>
      <c r="P136" s="17"/>
      <c r="Q136" s="17"/>
    </row>
    <row r="137" spans="3:17">
      <c r="C137" s="17"/>
      <c r="D137" s="17"/>
      <c r="E137" s="17"/>
      <c r="F137" s="17"/>
      <c r="G137" s="17"/>
      <c r="H137" s="17"/>
      <c r="I137" s="17"/>
      <c r="J137" s="17"/>
      <c r="K137" s="17"/>
      <c r="L137" s="17"/>
      <c r="M137" s="17"/>
      <c r="N137" s="17"/>
      <c r="O137" s="17"/>
      <c r="P137" s="17"/>
      <c r="Q137" s="17"/>
    </row>
    <row r="138" spans="3:17">
      <c r="C138" s="17"/>
      <c r="D138" s="17"/>
      <c r="E138" s="17"/>
      <c r="F138" s="17"/>
      <c r="G138" s="17"/>
      <c r="H138" s="17"/>
      <c r="I138" s="17"/>
      <c r="J138" s="17"/>
      <c r="K138" s="17"/>
      <c r="L138" s="17"/>
      <c r="M138" s="17"/>
      <c r="N138" s="17"/>
      <c r="O138" s="17"/>
      <c r="P138" s="17"/>
      <c r="Q138" s="17"/>
    </row>
    <row r="139" spans="3:17">
      <c r="C139" s="17"/>
      <c r="D139" s="17"/>
      <c r="E139" s="17"/>
      <c r="F139" s="17"/>
      <c r="G139" s="17"/>
      <c r="H139" s="17"/>
      <c r="I139" s="17"/>
      <c r="J139" s="17"/>
      <c r="K139" s="17"/>
      <c r="L139" s="17"/>
      <c r="M139" s="17"/>
      <c r="N139" s="17"/>
      <c r="O139" s="17"/>
      <c r="P139" s="17"/>
      <c r="Q139" s="17"/>
    </row>
    <row r="140" spans="3:17">
      <c r="C140" s="17"/>
      <c r="D140" s="17"/>
      <c r="E140" s="17"/>
      <c r="F140" s="17"/>
      <c r="G140" s="17"/>
      <c r="H140" s="17"/>
      <c r="I140" s="17"/>
      <c r="J140" s="17"/>
      <c r="K140" s="17"/>
      <c r="L140" s="17"/>
      <c r="M140" s="17"/>
      <c r="N140" s="17"/>
      <c r="O140" s="17"/>
      <c r="P140" s="17"/>
      <c r="Q140" s="17"/>
    </row>
    <row r="141" spans="3:17">
      <c r="C141" s="17"/>
      <c r="D141" s="17"/>
      <c r="E141" s="17"/>
      <c r="F141" s="17"/>
      <c r="G141" s="17"/>
      <c r="H141" s="17"/>
      <c r="I141" s="17"/>
      <c r="J141" s="17"/>
      <c r="K141" s="17"/>
      <c r="L141" s="17"/>
      <c r="M141" s="17"/>
      <c r="N141" s="17"/>
      <c r="O141" s="17"/>
      <c r="P141" s="17"/>
      <c r="Q141" s="17"/>
    </row>
    <row r="142" spans="3:17">
      <c r="C142" s="17"/>
      <c r="D142" s="17"/>
      <c r="E142" s="17"/>
      <c r="F142" s="17"/>
      <c r="G142" s="17"/>
      <c r="H142" s="17"/>
      <c r="I142" s="17"/>
      <c r="J142" s="17"/>
      <c r="K142" s="17"/>
      <c r="L142" s="17"/>
      <c r="M142" s="17"/>
      <c r="N142" s="17"/>
      <c r="O142" s="17"/>
      <c r="P142" s="17"/>
      <c r="Q142" s="17"/>
    </row>
    <row r="143" spans="3:17">
      <c r="C143" s="17"/>
      <c r="D143" s="17"/>
      <c r="E143" s="17"/>
      <c r="F143" s="17"/>
      <c r="G143" s="17"/>
      <c r="H143" s="17"/>
      <c r="I143" s="17"/>
      <c r="J143" s="17"/>
      <c r="K143" s="17"/>
      <c r="L143" s="17"/>
      <c r="M143" s="17"/>
      <c r="N143" s="17"/>
      <c r="O143" s="17"/>
      <c r="P143" s="17"/>
      <c r="Q143" s="17"/>
    </row>
    <row r="144" spans="3:17">
      <c r="C144" s="17"/>
      <c r="D144" s="17"/>
      <c r="E144" s="17"/>
      <c r="F144" s="17"/>
      <c r="G144" s="17"/>
      <c r="H144" s="17"/>
      <c r="I144" s="17"/>
      <c r="J144" s="17"/>
      <c r="K144" s="17"/>
      <c r="L144" s="17"/>
      <c r="M144" s="17"/>
      <c r="N144" s="17"/>
      <c r="O144" s="17"/>
      <c r="P144" s="17"/>
      <c r="Q144" s="17"/>
    </row>
    <row r="145" spans="3:17">
      <c r="C145" s="17"/>
      <c r="D145" s="17"/>
      <c r="E145" s="17"/>
      <c r="F145" s="17"/>
      <c r="G145" s="17"/>
      <c r="H145" s="17"/>
      <c r="I145" s="17"/>
      <c r="J145" s="17"/>
      <c r="K145" s="17"/>
      <c r="L145" s="17"/>
      <c r="M145" s="17"/>
      <c r="N145" s="17"/>
      <c r="O145" s="17"/>
      <c r="P145" s="17"/>
      <c r="Q145" s="17"/>
    </row>
    <row r="146" spans="3:17">
      <c r="C146" s="17"/>
      <c r="D146" s="17"/>
      <c r="E146" s="17"/>
      <c r="F146" s="17"/>
      <c r="G146" s="17"/>
      <c r="H146" s="17"/>
      <c r="I146" s="17"/>
      <c r="J146" s="17"/>
      <c r="K146" s="17"/>
      <c r="L146" s="17"/>
      <c r="M146" s="17"/>
      <c r="N146" s="17"/>
      <c r="O146" s="17"/>
      <c r="P146" s="17"/>
      <c r="Q146" s="17"/>
    </row>
    <row r="147" spans="3:17">
      <c r="C147" s="17"/>
      <c r="D147" s="17"/>
      <c r="E147" s="17"/>
      <c r="F147" s="17"/>
      <c r="G147" s="17"/>
      <c r="H147" s="17"/>
      <c r="I147" s="17"/>
      <c r="J147" s="17"/>
      <c r="K147" s="17"/>
      <c r="L147" s="17"/>
      <c r="M147" s="17"/>
      <c r="N147" s="17"/>
      <c r="O147" s="17"/>
      <c r="P147" s="17"/>
      <c r="Q147" s="17"/>
    </row>
    <row r="148" spans="3:17">
      <c r="C148" s="17"/>
      <c r="D148" s="17"/>
      <c r="E148" s="17"/>
      <c r="F148" s="17"/>
      <c r="G148" s="17"/>
      <c r="H148" s="17"/>
      <c r="I148" s="17"/>
      <c r="J148" s="17"/>
      <c r="K148" s="17"/>
      <c r="L148" s="17"/>
      <c r="M148" s="17"/>
      <c r="N148" s="17"/>
      <c r="O148" s="17"/>
      <c r="P148" s="17"/>
      <c r="Q148" s="17"/>
    </row>
    <row r="149" spans="3:17">
      <c r="C149" s="17"/>
      <c r="D149" s="17"/>
      <c r="E149" s="17"/>
      <c r="F149" s="17"/>
      <c r="G149" s="17"/>
      <c r="H149" s="17"/>
      <c r="I149" s="17"/>
      <c r="J149" s="17"/>
      <c r="K149" s="17"/>
      <c r="L149" s="17"/>
      <c r="M149" s="17"/>
      <c r="N149" s="17"/>
      <c r="O149" s="17"/>
      <c r="P149" s="17"/>
      <c r="Q149" s="17"/>
    </row>
    <row r="150" spans="3:17">
      <c r="C150" s="17"/>
      <c r="D150" s="17"/>
      <c r="E150" s="17"/>
      <c r="F150" s="17"/>
      <c r="G150" s="17"/>
      <c r="H150" s="17"/>
      <c r="I150" s="17"/>
      <c r="J150" s="17"/>
      <c r="K150" s="17"/>
      <c r="L150" s="17"/>
      <c r="M150" s="17"/>
      <c r="N150" s="17"/>
      <c r="O150" s="17"/>
      <c r="P150" s="17"/>
      <c r="Q150" s="17"/>
    </row>
    <row r="151" spans="3:17">
      <c r="C151" s="17"/>
      <c r="D151" s="17"/>
      <c r="E151" s="17"/>
      <c r="F151" s="17"/>
      <c r="G151" s="17"/>
      <c r="H151" s="17"/>
      <c r="I151" s="17"/>
      <c r="J151" s="17"/>
      <c r="K151" s="17"/>
      <c r="L151" s="17"/>
      <c r="M151" s="17"/>
      <c r="N151" s="17"/>
      <c r="O151" s="17"/>
      <c r="P151" s="17"/>
      <c r="Q151" s="17"/>
    </row>
    <row r="152" spans="3:17">
      <c r="C152" s="17"/>
      <c r="D152" s="17"/>
      <c r="E152" s="17"/>
      <c r="F152" s="17"/>
      <c r="G152" s="17"/>
      <c r="H152" s="17"/>
      <c r="I152" s="17"/>
      <c r="J152" s="17"/>
      <c r="K152" s="17"/>
      <c r="L152" s="17"/>
      <c r="M152" s="17"/>
      <c r="N152" s="17"/>
      <c r="O152" s="17"/>
      <c r="P152" s="17"/>
      <c r="Q152" s="17"/>
    </row>
    <row r="153" spans="3:17">
      <c r="C153" s="17"/>
      <c r="D153" s="17"/>
      <c r="E153" s="17"/>
      <c r="F153" s="17"/>
      <c r="G153" s="17"/>
      <c r="H153" s="17"/>
      <c r="I153" s="17"/>
      <c r="J153" s="17"/>
      <c r="K153" s="17"/>
      <c r="L153" s="17"/>
      <c r="M153" s="17"/>
      <c r="N153" s="17"/>
      <c r="O153" s="17"/>
      <c r="P153" s="17"/>
      <c r="Q153" s="17"/>
    </row>
    <row r="154" spans="3:17">
      <c r="C154" s="17"/>
      <c r="D154" s="17"/>
      <c r="E154" s="17"/>
      <c r="F154" s="17"/>
      <c r="G154" s="17"/>
      <c r="H154" s="17"/>
      <c r="I154" s="17"/>
      <c r="J154" s="17"/>
      <c r="K154" s="17"/>
      <c r="L154" s="17"/>
      <c r="M154" s="17"/>
      <c r="N154" s="17"/>
      <c r="O154" s="17"/>
      <c r="P154" s="17"/>
      <c r="Q154" s="17"/>
    </row>
    <row r="155" spans="3:17">
      <c r="C155" s="17"/>
      <c r="D155" s="17"/>
      <c r="E155" s="17"/>
      <c r="F155" s="17"/>
      <c r="G155" s="17"/>
      <c r="H155" s="17"/>
      <c r="I155" s="17"/>
      <c r="J155" s="17"/>
      <c r="K155" s="17"/>
      <c r="L155" s="17"/>
      <c r="M155" s="17"/>
      <c r="N155" s="17"/>
      <c r="O155" s="17"/>
      <c r="P155" s="17"/>
      <c r="Q155" s="17"/>
    </row>
    <row r="156" spans="3:17">
      <c r="C156" s="17"/>
      <c r="D156" s="17"/>
      <c r="E156" s="17"/>
      <c r="F156" s="17"/>
      <c r="G156" s="17"/>
      <c r="H156" s="17"/>
      <c r="I156" s="17"/>
      <c r="J156" s="17"/>
      <c r="K156" s="17"/>
      <c r="L156" s="17"/>
      <c r="M156" s="17"/>
      <c r="N156" s="17"/>
      <c r="O156" s="17"/>
      <c r="P156" s="17"/>
      <c r="Q156" s="17"/>
    </row>
    <row r="157" spans="3:17">
      <c r="C157" s="17"/>
      <c r="D157" s="17"/>
      <c r="E157" s="17"/>
      <c r="F157" s="17"/>
      <c r="G157" s="17"/>
      <c r="H157" s="17"/>
      <c r="I157" s="17"/>
      <c r="J157" s="17"/>
      <c r="K157" s="17"/>
      <c r="L157" s="17"/>
      <c r="M157" s="17"/>
      <c r="N157" s="17"/>
      <c r="O157" s="17"/>
      <c r="P157" s="17"/>
      <c r="Q157" s="17"/>
    </row>
    <row r="158" spans="3:17">
      <c r="C158" s="17"/>
      <c r="D158" s="17"/>
      <c r="E158" s="17"/>
      <c r="F158" s="17"/>
      <c r="G158" s="17"/>
      <c r="H158" s="17"/>
      <c r="I158" s="17"/>
      <c r="J158" s="17"/>
      <c r="K158" s="17"/>
      <c r="L158" s="17"/>
      <c r="M158" s="17"/>
      <c r="N158" s="17"/>
      <c r="O158" s="17"/>
      <c r="P158" s="17"/>
      <c r="Q158" s="17"/>
    </row>
    <row r="159" spans="3:17">
      <c r="C159" s="17"/>
      <c r="D159" s="17"/>
      <c r="E159" s="17"/>
      <c r="F159" s="17"/>
      <c r="G159" s="17"/>
      <c r="H159" s="17"/>
      <c r="I159" s="17"/>
      <c r="J159" s="17"/>
      <c r="K159" s="17"/>
      <c r="L159" s="17"/>
      <c r="M159" s="17"/>
      <c r="N159" s="17"/>
      <c r="O159" s="17"/>
      <c r="P159" s="17"/>
      <c r="Q159" s="17"/>
    </row>
    <row r="160" spans="3:17">
      <c r="C160" s="17"/>
      <c r="D160" s="17"/>
      <c r="E160" s="17"/>
      <c r="F160" s="17"/>
      <c r="G160" s="17"/>
      <c r="H160" s="17"/>
      <c r="I160" s="17"/>
      <c r="J160" s="17"/>
      <c r="K160" s="17"/>
      <c r="L160" s="17"/>
      <c r="M160" s="17"/>
      <c r="N160" s="17"/>
      <c r="O160" s="17"/>
      <c r="P160" s="17"/>
      <c r="Q160" s="17"/>
    </row>
    <row r="161" spans="3:17">
      <c r="C161" s="17"/>
      <c r="D161" s="17"/>
      <c r="E161" s="17"/>
      <c r="F161" s="17"/>
      <c r="G161" s="17"/>
      <c r="H161" s="17"/>
      <c r="I161" s="17"/>
      <c r="J161" s="17"/>
      <c r="K161" s="17"/>
      <c r="L161" s="17"/>
      <c r="M161" s="17"/>
      <c r="N161" s="17"/>
      <c r="O161" s="17"/>
      <c r="P161" s="17"/>
      <c r="Q161" s="17"/>
    </row>
    <row r="162" spans="3:17">
      <c r="C162" s="17"/>
      <c r="D162" s="17"/>
      <c r="E162" s="17"/>
      <c r="F162" s="17"/>
      <c r="G162" s="17"/>
      <c r="H162" s="17"/>
      <c r="I162" s="17"/>
      <c r="J162" s="17"/>
      <c r="K162" s="17"/>
      <c r="L162" s="17"/>
      <c r="M162" s="17"/>
      <c r="N162" s="17"/>
      <c r="O162" s="17"/>
      <c r="P162" s="17"/>
      <c r="Q162" s="17"/>
    </row>
    <row r="163" spans="3:17">
      <c r="C163" s="17"/>
      <c r="D163" s="17"/>
      <c r="E163" s="17"/>
      <c r="F163" s="17"/>
      <c r="G163" s="17"/>
      <c r="H163" s="17"/>
      <c r="I163" s="17"/>
      <c r="J163" s="17"/>
      <c r="K163" s="17"/>
      <c r="L163" s="17"/>
      <c r="M163" s="17"/>
      <c r="N163" s="17"/>
      <c r="O163" s="17"/>
      <c r="P163" s="17"/>
      <c r="Q163" s="17"/>
    </row>
    <row r="164" spans="3:17">
      <c r="C164" s="17"/>
      <c r="D164" s="17"/>
      <c r="E164" s="17"/>
      <c r="F164" s="17"/>
      <c r="G164" s="17"/>
      <c r="H164" s="17"/>
      <c r="I164" s="17"/>
      <c r="J164" s="17"/>
      <c r="K164" s="17"/>
      <c r="L164" s="17"/>
      <c r="M164" s="17"/>
      <c r="N164" s="17"/>
      <c r="O164" s="17"/>
      <c r="P164" s="17"/>
      <c r="Q164" s="17"/>
    </row>
    <row r="165" spans="3:17">
      <c r="C165" s="17"/>
      <c r="D165" s="17"/>
      <c r="E165" s="17"/>
      <c r="F165" s="17"/>
      <c r="G165" s="17"/>
      <c r="H165" s="17"/>
      <c r="I165" s="17"/>
      <c r="J165" s="17"/>
      <c r="K165" s="17"/>
      <c r="L165" s="17"/>
      <c r="M165" s="17"/>
      <c r="N165" s="17"/>
      <c r="O165" s="17"/>
      <c r="P165" s="17"/>
      <c r="Q165" s="17"/>
    </row>
    <row r="166" spans="3:17">
      <c r="C166" s="17"/>
      <c r="D166" s="17"/>
      <c r="E166" s="17"/>
      <c r="F166" s="17"/>
      <c r="G166" s="17"/>
      <c r="H166" s="17"/>
      <c r="I166" s="17"/>
      <c r="J166" s="17"/>
      <c r="K166" s="17"/>
      <c r="L166" s="17"/>
      <c r="M166" s="17"/>
      <c r="N166" s="17"/>
      <c r="O166" s="17"/>
      <c r="P166" s="17"/>
      <c r="Q166" s="17"/>
    </row>
    <row r="167" spans="3:17">
      <c r="C167" s="17"/>
      <c r="D167" s="17"/>
      <c r="E167" s="17"/>
      <c r="F167" s="17"/>
      <c r="G167" s="17"/>
      <c r="H167" s="17"/>
      <c r="I167" s="17"/>
      <c r="J167" s="17"/>
      <c r="K167" s="17"/>
      <c r="L167" s="17"/>
      <c r="M167" s="17"/>
      <c r="N167" s="17"/>
      <c r="O167" s="17"/>
      <c r="P167" s="17"/>
      <c r="Q167" s="17"/>
    </row>
    <row r="168" spans="3:17">
      <c r="C168" s="17"/>
      <c r="D168" s="17"/>
      <c r="E168" s="17"/>
      <c r="F168" s="17"/>
      <c r="G168" s="17"/>
      <c r="H168" s="17"/>
      <c r="I168" s="17"/>
      <c r="J168" s="17"/>
      <c r="K168" s="17"/>
      <c r="L168" s="17"/>
      <c r="M168" s="17"/>
      <c r="N168" s="17"/>
      <c r="O168" s="17"/>
      <c r="P168" s="17"/>
      <c r="Q168" s="17"/>
    </row>
    <row r="169" spans="3:17">
      <c r="C169" s="17"/>
      <c r="D169" s="17"/>
      <c r="E169" s="17"/>
      <c r="F169" s="17"/>
      <c r="G169" s="17"/>
      <c r="H169" s="17"/>
      <c r="I169" s="17"/>
      <c r="J169" s="17"/>
      <c r="K169" s="17"/>
      <c r="L169" s="17"/>
      <c r="M169" s="17"/>
      <c r="N169" s="17"/>
      <c r="O169" s="17"/>
      <c r="P169" s="17"/>
      <c r="Q169" s="17"/>
    </row>
    <row r="170" spans="3:17">
      <c r="C170" s="17"/>
      <c r="D170" s="17"/>
      <c r="E170" s="17"/>
      <c r="F170" s="17"/>
      <c r="G170" s="17"/>
      <c r="H170" s="17"/>
      <c r="I170" s="17"/>
      <c r="J170" s="17"/>
      <c r="K170" s="17"/>
      <c r="L170" s="17"/>
      <c r="M170" s="17"/>
      <c r="N170" s="17"/>
      <c r="O170" s="17"/>
      <c r="P170" s="17"/>
      <c r="Q170" s="17"/>
    </row>
    <row r="171" spans="3:17">
      <c r="C171" s="17"/>
      <c r="D171" s="17"/>
      <c r="E171" s="17"/>
      <c r="F171" s="17"/>
      <c r="G171" s="17"/>
      <c r="H171" s="17"/>
      <c r="I171" s="17"/>
      <c r="J171" s="17"/>
      <c r="K171" s="17"/>
      <c r="L171" s="17"/>
      <c r="M171" s="17"/>
      <c r="N171" s="17"/>
      <c r="O171" s="17"/>
      <c r="P171" s="17"/>
      <c r="Q171" s="17"/>
    </row>
    <row r="172" spans="3:17">
      <c r="C172" s="17"/>
      <c r="D172" s="17"/>
      <c r="E172" s="17"/>
      <c r="F172" s="17"/>
      <c r="G172" s="17"/>
      <c r="H172" s="17"/>
      <c r="I172" s="17"/>
      <c r="J172" s="17"/>
      <c r="K172" s="17"/>
      <c r="L172" s="17"/>
      <c r="M172" s="17"/>
      <c r="N172" s="17"/>
      <c r="O172" s="17"/>
      <c r="P172" s="17"/>
      <c r="Q172" s="17"/>
    </row>
    <row r="173" spans="3:17">
      <c r="C173" s="17"/>
      <c r="D173" s="17"/>
      <c r="E173" s="17"/>
      <c r="F173" s="17"/>
      <c r="G173" s="17"/>
      <c r="H173" s="17"/>
      <c r="I173" s="17"/>
      <c r="J173" s="17"/>
      <c r="K173" s="17"/>
      <c r="L173" s="17"/>
      <c r="M173" s="17"/>
      <c r="N173" s="17"/>
      <c r="O173" s="17"/>
      <c r="P173" s="17"/>
      <c r="Q173" s="17"/>
    </row>
    <row r="174" spans="3:17">
      <c r="C174" s="17"/>
      <c r="D174" s="17"/>
      <c r="E174" s="17"/>
      <c r="F174" s="17"/>
      <c r="G174" s="17"/>
      <c r="H174" s="17"/>
      <c r="I174" s="17"/>
      <c r="J174" s="17"/>
      <c r="K174" s="17"/>
      <c r="L174" s="17"/>
      <c r="M174" s="17"/>
      <c r="N174" s="17"/>
      <c r="O174" s="17"/>
      <c r="P174" s="17"/>
      <c r="Q174" s="17"/>
    </row>
    <row r="175" spans="3:17">
      <c r="C175" s="17"/>
      <c r="D175" s="17"/>
      <c r="E175" s="17"/>
      <c r="F175" s="17"/>
      <c r="G175" s="17"/>
      <c r="H175" s="17"/>
      <c r="I175" s="17"/>
      <c r="J175" s="17"/>
      <c r="K175" s="17"/>
      <c r="L175" s="17"/>
      <c r="M175" s="17"/>
      <c r="N175" s="17"/>
      <c r="O175" s="17"/>
      <c r="P175" s="17"/>
      <c r="Q175" s="17"/>
    </row>
    <row r="176" spans="3:17">
      <c r="C176" s="17"/>
      <c r="D176" s="17"/>
      <c r="E176" s="17"/>
      <c r="F176" s="17"/>
      <c r="G176" s="17"/>
      <c r="H176" s="17"/>
      <c r="I176" s="17"/>
      <c r="J176" s="17"/>
      <c r="K176" s="17"/>
      <c r="L176" s="17"/>
      <c r="M176" s="17"/>
      <c r="N176" s="17"/>
      <c r="O176" s="17"/>
      <c r="P176" s="17"/>
      <c r="Q176" s="17"/>
    </row>
    <row r="177" spans="3:17">
      <c r="C177" s="17"/>
      <c r="D177" s="17"/>
      <c r="E177" s="17"/>
      <c r="F177" s="17"/>
      <c r="G177" s="17"/>
      <c r="H177" s="17"/>
      <c r="I177" s="17"/>
      <c r="J177" s="17"/>
      <c r="K177" s="17"/>
      <c r="L177" s="17"/>
      <c r="M177" s="17"/>
      <c r="N177" s="17"/>
      <c r="O177" s="17"/>
      <c r="P177" s="17"/>
      <c r="Q177" s="17"/>
    </row>
    <row r="178" spans="3:17">
      <c r="C178" s="17"/>
      <c r="D178" s="17"/>
      <c r="E178" s="17"/>
      <c r="F178" s="17"/>
      <c r="G178" s="17"/>
      <c r="H178" s="17"/>
      <c r="I178" s="17"/>
      <c r="J178" s="17"/>
      <c r="K178" s="17"/>
      <c r="L178" s="17"/>
      <c r="M178" s="17"/>
      <c r="N178" s="17"/>
      <c r="O178" s="17"/>
      <c r="P178" s="17"/>
      <c r="Q178" s="17"/>
    </row>
    <row r="179" spans="3:17">
      <c r="C179" s="17"/>
      <c r="D179" s="17"/>
      <c r="E179" s="17"/>
      <c r="F179" s="17"/>
      <c r="G179" s="17"/>
      <c r="H179" s="17"/>
      <c r="I179" s="17"/>
      <c r="J179" s="17"/>
      <c r="K179" s="17"/>
      <c r="L179" s="17"/>
      <c r="M179" s="17"/>
      <c r="N179" s="17"/>
      <c r="O179" s="17"/>
      <c r="P179" s="17"/>
      <c r="Q179" s="17"/>
    </row>
    <row r="180" spans="3:17">
      <c r="C180" s="17"/>
      <c r="D180" s="17"/>
      <c r="E180" s="17"/>
      <c r="F180" s="17"/>
      <c r="G180" s="17"/>
      <c r="H180" s="17"/>
      <c r="I180" s="17"/>
      <c r="J180" s="17"/>
      <c r="K180" s="17"/>
      <c r="L180" s="17"/>
      <c r="M180" s="17"/>
      <c r="N180" s="17"/>
      <c r="O180" s="17"/>
      <c r="P180" s="17"/>
      <c r="Q180" s="17"/>
    </row>
    <row r="181" spans="3:17">
      <c r="C181" s="17"/>
      <c r="D181" s="17"/>
      <c r="E181" s="17"/>
      <c r="F181" s="17"/>
      <c r="G181" s="17"/>
      <c r="H181" s="17"/>
      <c r="I181" s="17"/>
      <c r="J181" s="17"/>
      <c r="K181" s="17"/>
      <c r="L181" s="17"/>
      <c r="M181" s="17"/>
      <c r="N181" s="17"/>
      <c r="O181" s="17"/>
      <c r="P181" s="17"/>
      <c r="Q181" s="17"/>
    </row>
    <row r="182" spans="3:17">
      <c r="C182" s="17"/>
      <c r="D182" s="17"/>
      <c r="E182" s="17"/>
      <c r="F182" s="17"/>
      <c r="G182" s="17"/>
      <c r="H182" s="17"/>
      <c r="I182" s="17"/>
      <c r="J182" s="17"/>
      <c r="K182" s="17"/>
      <c r="L182" s="17"/>
      <c r="M182" s="17"/>
      <c r="N182" s="17"/>
      <c r="O182" s="17"/>
      <c r="P182" s="17"/>
      <c r="Q182" s="17"/>
    </row>
    <row r="183" spans="3:17">
      <c r="C183" s="17"/>
      <c r="D183" s="17"/>
      <c r="E183" s="17"/>
      <c r="F183" s="17"/>
      <c r="G183" s="17"/>
      <c r="H183" s="17"/>
      <c r="I183" s="17"/>
      <c r="J183" s="17"/>
      <c r="K183" s="17"/>
      <c r="L183" s="17"/>
      <c r="M183" s="17"/>
      <c r="N183" s="17"/>
      <c r="O183" s="17"/>
      <c r="P183" s="17"/>
      <c r="Q183" s="17"/>
    </row>
    <row r="184" spans="3:17">
      <c r="C184" s="17"/>
      <c r="D184" s="17"/>
      <c r="E184" s="17"/>
      <c r="F184" s="17"/>
      <c r="G184" s="17"/>
      <c r="H184" s="17"/>
      <c r="I184" s="17"/>
      <c r="J184" s="17"/>
      <c r="K184" s="17"/>
      <c r="L184" s="17"/>
      <c r="M184" s="17"/>
      <c r="N184" s="17"/>
      <c r="O184" s="17"/>
      <c r="P184" s="17"/>
      <c r="Q184" s="17"/>
    </row>
    <row r="185" spans="3:17">
      <c r="C185" s="17"/>
      <c r="D185" s="17"/>
      <c r="E185" s="17"/>
      <c r="F185" s="17"/>
      <c r="G185" s="17"/>
      <c r="H185" s="17"/>
      <c r="I185" s="17"/>
      <c r="J185" s="17"/>
      <c r="K185" s="17"/>
      <c r="L185" s="17"/>
      <c r="M185" s="17"/>
      <c r="N185" s="17"/>
      <c r="O185" s="17"/>
      <c r="P185" s="17"/>
      <c r="Q185" s="17"/>
    </row>
    <row r="186" spans="3:17">
      <c r="C186" s="17"/>
      <c r="D186" s="17"/>
      <c r="E186" s="17"/>
      <c r="F186" s="17"/>
      <c r="G186" s="17"/>
      <c r="H186" s="17"/>
      <c r="I186" s="17"/>
      <c r="J186" s="17"/>
      <c r="K186" s="17"/>
      <c r="L186" s="17"/>
      <c r="M186" s="17"/>
      <c r="N186" s="17"/>
      <c r="O186" s="17"/>
      <c r="P186" s="17"/>
      <c r="Q186" s="17"/>
    </row>
    <row r="187" spans="3:17">
      <c r="C187" s="17"/>
      <c r="D187" s="17"/>
      <c r="E187" s="17"/>
      <c r="F187" s="17"/>
      <c r="G187" s="17"/>
      <c r="H187" s="17"/>
      <c r="I187" s="17"/>
      <c r="J187" s="17"/>
      <c r="K187" s="17"/>
      <c r="L187" s="17"/>
      <c r="M187" s="17"/>
      <c r="N187" s="17"/>
      <c r="O187" s="17"/>
      <c r="P187" s="17"/>
      <c r="Q187" s="17"/>
    </row>
    <row r="188" spans="3:17">
      <c r="C188" s="17"/>
      <c r="D188" s="17"/>
      <c r="E188" s="17"/>
      <c r="F188" s="17"/>
      <c r="G188" s="17"/>
      <c r="H188" s="17"/>
      <c r="I188" s="17"/>
      <c r="J188" s="17"/>
      <c r="K188" s="17"/>
      <c r="L188" s="17"/>
      <c r="M188" s="17"/>
      <c r="N188" s="17"/>
      <c r="O188" s="17"/>
      <c r="P188" s="17"/>
      <c r="Q188" s="17"/>
    </row>
    <row r="189" spans="3:17">
      <c r="C189" s="17"/>
      <c r="D189" s="17"/>
      <c r="E189" s="17"/>
      <c r="F189" s="17"/>
      <c r="G189" s="17"/>
      <c r="H189" s="17"/>
      <c r="I189" s="17"/>
      <c r="J189" s="17"/>
      <c r="K189" s="17"/>
      <c r="L189" s="17"/>
      <c r="M189" s="17"/>
      <c r="N189" s="17"/>
      <c r="O189" s="17"/>
      <c r="P189" s="17"/>
      <c r="Q189" s="17"/>
    </row>
    <row r="190" spans="3:17">
      <c r="C190" s="17"/>
      <c r="D190" s="17"/>
      <c r="E190" s="17"/>
      <c r="F190" s="17"/>
      <c r="G190" s="17"/>
      <c r="H190" s="17"/>
      <c r="I190" s="17"/>
      <c r="J190" s="17"/>
      <c r="K190" s="17"/>
      <c r="L190" s="17"/>
      <c r="M190" s="17"/>
      <c r="N190" s="17"/>
      <c r="O190" s="17"/>
      <c r="P190" s="17"/>
      <c r="Q190" s="17"/>
    </row>
    <row r="191" spans="3:17">
      <c r="C191" s="17"/>
      <c r="D191" s="17"/>
      <c r="E191" s="17"/>
      <c r="F191" s="17"/>
      <c r="G191" s="17"/>
      <c r="H191" s="17"/>
      <c r="I191" s="17"/>
      <c r="J191" s="17"/>
      <c r="K191" s="17"/>
      <c r="L191" s="17"/>
      <c r="M191" s="17"/>
      <c r="N191" s="17"/>
      <c r="O191" s="17"/>
      <c r="P191" s="17"/>
      <c r="Q191" s="17"/>
    </row>
    <row r="192" spans="3:17">
      <c r="C192" s="17"/>
      <c r="D192" s="17"/>
      <c r="E192" s="17"/>
      <c r="F192" s="17"/>
      <c r="G192" s="17"/>
      <c r="H192" s="17"/>
      <c r="I192" s="17"/>
      <c r="J192" s="17"/>
      <c r="K192" s="17"/>
      <c r="L192" s="17"/>
      <c r="M192" s="17"/>
      <c r="N192" s="17"/>
      <c r="O192" s="17"/>
      <c r="P192" s="17"/>
      <c r="Q192" s="17"/>
    </row>
    <row r="193" spans="3:17">
      <c r="C193" s="17"/>
      <c r="D193" s="17"/>
      <c r="E193" s="17"/>
      <c r="F193" s="17"/>
      <c r="G193" s="17"/>
      <c r="H193" s="17"/>
      <c r="I193" s="17"/>
      <c r="J193" s="17"/>
      <c r="K193" s="17"/>
      <c r="L193" s="17"/>
      <c r="M193" s="17"/>
      <c r="N193" s="17"/>
      <c r="O193" s="17"/>
      <c r="P193" s="17"/>
      <c r="Q193" s="17"/>
    </row>
    <row r="194" spans="3:17">
      <c r="C194" s="17"/>
      <c r="D194" s="17"/>
      <c r="E194" s="17"/>
      <c r="F194" s="17"/>
      <c r="G194" s="17"/>
      <c r="H194" s="17"/>
      <c r="I194" s="17"/>
      <c r="J194" s="17"/>
      <c r="K194" s="17"/>
      <c r="L194" s="17"/>
      <c r="M194" s="17"/>
      <c r="N194" s="17"/>
      <c r="O194" s="17"/>
      <c r="P194" s="17"/>
      <c r="Q194" s="17"/>
    </row>
    <row r="195" spans="3:17">
      <c r="C195" s="17"/>
      <c r="D195" s="17"/>
      <c r="E195" s="17"/>
      <c r="F195" s="17"/>
      <c r="G195" s="17"/>
      <c r="H195" s="17"/>
      <c r="I195" s="17"/>
      <c r="J195" s="17"/>
      <c r="K195" s="17"/>
      <c r="L195" s="17"/>
      <c r="M195" s="17"/>
      <c r="N195" s="17"/>
      <c r="O195" s="17"/>
      <c r="P195" s="17"/>
      <c r="Q195" s="17"/>
    </row>
    <row r="196" spans="3:17">
      <c r="C196" s="17"/>
      <c r="D196" s="17"/>
      <c r="E196" s="17"/>
      <c r="F196" s="17"/>
      <c r="G196" s="17"/>
      <c r="H196" s="17"/>
      <c r="I196" s="17"/>
      <c r="J196" s="17"/>
      <c r="K196" s="17"/>
      <c r="L196" s="17"/>
      <c r="M196" s="17"/>
      <c r="N196" s="17"/>
      <c r="O196" s="17"/>
      <c r="P196" s="17"/>
      <c r="Q196" s="17"/>
    </row>
    <row r="197" spans="3:17">
      <c r="C197" s="17"/>
      <c r="D197" s="17"/>
      <c r="E197" s="17"/>
      <c r="F197" s="17"/>
      <c r="G197" s="17"/>
      <c r="H197" s="17"/>
      <c r="I197" s="17"/>
      <c r="J197" s="17"/>
      <c r="K197" s="17"/>
      <c r="L197" s="17"/>
      <c r="M197" s="17"/>
      <c r="N197" s="17"/>
      <c r="O197" s="17"/>
      <c r="P197" s="17"/>
      <c r="Q197" s="17"/>
    </row>
    <row r="198" spans="3:17">
      <c r="C198" s="17"/>
      <c r="D198" s="17"/>
      <c r="E198" s="17"/>
      <c r="F198" s="17"/>
      <c r="G198" s="17"/>
      <c r="H198" s="17"/>
      <c r="I198" s="17"/>
      <c r="J198" s="17"/>
      <c r="K198" s="17"/>
      <c r="L198" s="17"/>
      <c r="M198" s="17"/>
      <c r="N198" s="17"/>
      <c r="O198" s="17"/>
      <c r="P198" s="17"/>
      <c r="Q198" s="17"/>
    </row>
    <row r="199" spans="3:17">
      <c r="C199" s="17"/>
      <c r="D199" s="17"/>
      <c r="E199" s="17"/>
      <c r="F199" s="17"/>
      <c r="G199" s="17"/>
      <c r="H199" s="17"/>
      <c r="I199" s="17"/>
      <c r="J199" s="17"/>
      <c r="K199" s="17"/>
      <c r="L199" s="17"/>
      <c r="M199" s="17"/>
      <c r="N199" s="17"/>
      <c r="O199" s="17"/>
      <c r="P199" s="17"/>
      <c r="Q199" s="17"/>
    </row>
    <row r="200" spans="3:17">
      <c r="C200" s="17"/>
      <c r="D200" s="17"/>
      <c r="E200" s="17"/>
      <c r="F200" s="17"/>
      <c r="G200" s="17"/>
      <c r="H200" s="17"/>
      <c r="I200" s="17"/>
      <c r="J200" s="17"/>
      <c r="K200" s="17"/>
      <c r="L200" s="17"/>
      <c r="M200" s="17"/>
      <c r="N200" s="17"/>
      <c r="O200" s="17"/>
      <c r="P200" s="17"/>
      <c r="Q200" s="17"/>
    </row>
    <row r="201" spans="3:17">
      <c r="C201" s="17"/>
      <c r="D201" s="17"/>
      <c r="E201" s="17"/>
      <c r="F201" s="17"/>
      <c r="G201" s="17"/>
      <c r="H201" s="17"/>
      <c r="I201" s="17"/>
      <c r="J201" s="17"/>
      <c r="K201" s="17"/>
      <c r="L201" s="17"/>
      <c r="M201" s="17"/>
      <c r="N201" s="17"/>
      <c r="O201" s="17"/>
      <c r="P201" s="17"/>
      <c r="Q201" s="17"/>
    </row>
    <row r="202" spans="3:17">
      <c r="C202" s="17"/>
      <c r="D202" s="17"/>
      <c r="E202" s="17"/>
      <c r="F202" s="17"/>
      <c r="G202" s="17"/>
      <c r="H202" s="17"/>
      <c r="I202" s="17"/>
      <c r="J202" s="17"/>
      <c r="K202" s="17"/>
      <c r="L202" s="17"/>
      <c r="M202" s="17"/>
      <c r="N202" s="17"/>
      <c r="O202" s="17"/>
      <c r="P202" s="17"/>
      <c r="Q202" s="17"/>
    </row>
    <row r="203" spans="3:17">
      <c r="C203" s="17"/>
      <c r="D203" s="17"/>
      <c r="E203" s="17"/>
      <c r="F203" s="17"/>
      <c r="G203" s="17"/>
      <c r="H203" s="17"/>
      <c r="I203" s="17"/>
      <c r="J203" s="17"/>
      <c r="K203" s="17"/>
      <c r="L203" s="17"/>
      <c r="M203" s="17"/>
      <c r="N203" s="17"/>
      <c r="O203" s="17"/>
      <c r="P203" s="17"/>
      <c r="Q203" s="17"/>
    </row>
    <row r="204" spans="3:17">
      <c r="C204" s="17"/>
      <c r="D204" s="17"/>
      <c r="E204" s="17"/>
      <c r="F204" s="17"/>
      <c r="G204" s="17"/>
      <c r="H204" s="17"/>
      <c r="I204" s="17"/>
      <c r="J204" s="17"/>
      <c r="K204" s="17"/>
      <c r="L204" s="17"/>
      <c r="M204" s="17"/>
      <c r="N204" s="17"/>
      <c r="O204" s="17"/>
      <c r="P204" s="17"/>
      <c r="Q204" s="17"/>
    </row>
    <row r="205" spans="3:17">
      <c r="C205" s="17"/>
      <c r="D205" s="17"/>
      <c r="E205" s="17"/>
      <c r="F205" s="17"/>
      <c r="G205" s="17"/>
      <c r="H205" s="17"/>
      <c r="I205" s="17"/>
      <c r="J205" s="17"/>
      <c r="K205" s="17"/>
      <c r="L205" s="17"/>
      <c r="M205" s="17"/>
      <c r="N205" s="17"/>
      <c r="O205" s="17"/>
      <c r="P205" s="17"/>
      <c r="Q205" s="17"/>
    </row>
    <row r="206" spans="3:17">
      <c r="C206" s="17"/>
      <c r="D206" s="17"/>
      <c r="E206" s="17"/>
      <c r="F206" s="17"/>
      <c r="G206" s="17"/>
      <c r="H206" s="17"/>
      <c r="I206" s="17"/>
      <c r="J206" s="17"/>
      <c r="K206" s="17"/>
      <c r="L206" s="17"/>
      <c r="M206" s="17"/>
      <c r="N206" s="17"/>
      <c r="O206" s="17"/>
      <c r="P206" s="17"/>
      <c r="Q206" s="17"/>
    </row>
    <row r="207" spans="3:17">
      <c r="C207" s="17"/>
      <c r="D207" s="17"/>
      <c r="E207" s="17"/>
      <c r="F207" s="17"/>
      <c r="G207" s="17"/>
      <c r="H207" s="17"/>
      <c r="I207" s="17"/>
      <c r="J207" s="17"/>
      <c r="K207" s="17"/>
      <c r="L207" s="17"/>
      <c r="M207" s="17"/>
      <c r="N207" s="17"/>
      <c r="O207" s="17"/>
      <c r="P207" s="17"/>
      <c r="Q207" s="17"/>
    </row>
    <row r="208" spans="3:17">
      <c r="C208" s="17"/>
      <c r="D208" s="17"/>
      <c r="E208" s="17"/>
      <c r="F208" s="17"/>
      <c r="G208" s="17"/>
      <c r="H208" s="17"/>
      <c r="I208" s="17"/>
      <c r="J208" s="17"/>
      <c r="K208" s="17"/>
      <c r="L208" s="17"/>
      <c r="M208" s="17"/>
      <c r="N208" s="17"/>
      <c r="O208" s="17"/>
      <c r="P208" s="17"/>
      <c r="Q208" s="17"/>
    </row>
    <row r="209" spans="3:17">
      <c r="C209" s="17"/>
      <c r="D209" s="17"/>
      <c r="E209" s="17"/>
      <c r="F209" s="17"/>
      <c r="G209" s="17"/>
      <c r="H209" s="17"/>
      <c r="I209" s="17"/>
      <c r="J209" s="17"/>
      <c r="K209" s="17"/>
      <c r="L209" s="17"/>
      <c r="M209" s="17"/>
      <c r="N209" s="17"/>
      <c r="O209" s="17"/>
      <c r="P209" s="17"/>
      <c r="Q209" s="17"/>
    </row>
    <row r="210" spans="3:17">
      <c r="C210" s="17"/>
      <c r="D210" s="17"/>
      <c r="E210" s="17"/>
      <c r="F210" s="17"/>
      <c r="G210" s="17"/>
      <c r="H210" s="17"/>
      <c r="I210" s="17"/>
      <c r="J210" s="17"/>
      <c r="K210" s="17"/>
      <c r="L210" s="17"/>
      <c r="M210" s="17"/>
      <c r="N210" s="17"/>
      <c r="O210" s="17"/>
      <c r="P210" s="17"/>
      <c r="Q210" s="17"/>
    </row>
    <row r="211" spans="3:17">
      <c r="C211" s="17"/>
      <c r="D211" s="17"/>
      <c r="E211" s="17"/>
      <c r="F211" s="17"/>
      <c r="G211" s="17"/>
      <c r="H211" s="17"/>
      <c r="I211" s="17"/>
      <c r="J211" s="17"/>
      <c r="K211" s="17"/>
      <c r="L211" s="17"/>
      <c r="M211" s="17"/>
      <c r="N211" s="17"/>
      <c r="O211" s="17"/>
      <c r="P211" s="17"/>
      <c r="Q211" s="17"/>
    </row>
    <row r="212" spans="3:17">
      <c r="C212" s="17"/>
      <c r="D212" s="17"/>
      <c r="E212" s="17"/>
      <c r="F212" s="17"/>
      <c r="G212" s="17"/>
      <c r="H212" s="17"/>
      <c r="I212" s="17"/>
      <c r="J212" s="17"/>
      <c r="K212" s="17"/>
      <c r="L212" s="17"/>
      <c r="M212" s="17"/>
      <c r="N212" s="17"/>
      <c r="O212" s="17"/>
      <c r="P212" s="17"/>
      <c r="Q212" s="17"/>
    </row>
    <row r="213" spans="3:17">
      <c r="C213" s="17"/>
      <c r="D213" s="17"/>
      <c r="E213" s="17"/>
      <c r="F213" s="17"/>
      <c r="G213" s="17"/>
      <c r="H213" s="17"/>
      <c r="I213" s="17"/>
      <c r="J213" s="17"/>
      <c r="K213" s="17"/>
      <c r="L213" s="17"/>
      <c r="M213" s="17"/>
      <c r="N213" s="17"/>
      <c r="O213" s="17"/>
      <c r="P213" s="17"/>
      <c r="Q213" s="17"/>
    </row>
    <row r="214" spans="3:17">
      <c r="C214" s="17"/>
      <c r="D214" s="17"/>
      <c r="E214" s="17"/>
      <c r="F214" s="17"/>
      <c r="G214" s="17"/>
      <c r="H214" s="17"/>
      <c r="I214" s="17"/>
      <c r="J214" s="17"/>
      <c r="K214" s="17"/>
      <c r="L214" s="17"/>
      <c r="M214" s="17"/>
      <c r="N214" s="17"/>
      <c r="O214" s="17"/>
      <c r="P214" s="17"/>
      <c r="Q214" s="17"/>
    </row>
    <row r="215" spans="3:17">
      <c r="C215" s="17"/>
      <c r="D215" s="17"/>
      <c r="E215" s="17"/>
      <c r="F215" s="17"/>
      <c r="G215" s="17"/>
      <c r="H215" s="17"/>
      <c r="I215" s="17"/>
      <c r="J215" s="17"/>
      <c r="K215" s="17"/>
      <c r="L215" s="17"/>
      <c r="M215" s="17"/>
      <c r="N215" s="17"/>
      <c r="O215" s="17"/>
      <c r="P215" s="17"/>
      <c r="Q215" s="17"/>
    </row>
    <row r="216" spans="3:17">
      <c r="C216" s="17"/>
      <c r="D216" s="17"/>
      <c r="E216" s="17"/>
      <c r="F216" s="17"/>
      <c r="G216" s="17"/>
      <c r="H216" s="17"/>
      <c r="I216" s="17"/>
      <c r="J216" s="17"/>
      <c r="K216" s="17"/>
      <c r="L216" s="17"/>
      <c r="M216" s="17"/>
      <c r="N216" s="17"/>
      <c r="O216" s="17"/>
      <c r="P216" s="17"/>
      <c r="Q216" s="17"/>
    </row>
    <row r="217" spans="3:17">
      <c r="C217" s="17"/>
      <c r="D217" s="17"/>
      <c r="E217" s="17"/>
      <c r="F217" s="17"/>
      <c r="G217" s="17"/>
      <c r="H217" s="17"/>
      <c r="I217" s="17"/>
      <c r="J217" s="17"/>
      <c r="K217" s="17"/>
      <c r="L217" s="17"/>
      <c r="M217" s="17"/>
      <c r="N217" s="17"/>
      <c r="O217" s="17"/>
      <c r="P217" s="17"/>
      <c r="Q217" s="17"/>
    </row>
    <row r="218" spans="3:17">
      <c r="C218" s="17"/>
      <c r="D218" s="17"/>
      <c r="E218" s="17"/>
      <c r="F218" s="17"/>
      <c r="G218" s="17"/>
      <c r="H218" s="17"/>
      <c r="I218" s="17"/>
      <c r="J218" s="17"/>
      <c r="K218" s="17"/>
      <c r="L218" s="17"/>
      <c r="M218" s="17"/>
      <c r="N218" s="17"/>
      <c r="O218" s="17"/>
      <c r="P218" s="17"/>
      <c r="Q218" s="17"/>
    </row>
    <row r="219" spans="3:17">
      <c r="C219" s="17"/>
      <c r="D219" s="17"/>
      <c r="E219" s="17"/>
      <c r="F219" s="17"/>
      <c r="G219" s="17"/>
      <c r="H219" s="17"/>
      <c r="I219" s="17"/>
      <c r="J219" s="17"/>
      <c r="K219" s="17"/>
      <c r="L219" s="17"/>
      <c r="M219" s="17"/>
      <c r="N219" s="17"/>
      <c r="O219" s="17"/>
      <c r="P219" s="17"/>
      <c r="Q219" s="17"/>
    </row>
    <row r="220" spans="3:17">
      <c r="C220" s="17"/>
      <c r="D220" s="17"/>
      <c r="E220" s="17"/>
      <c r="F220" s="17"/>
      <c r="G220" s="17"/>
      <c r="H220" s="17"/>
      <c r="I220" s="17"/>
      <c r="J220" s="17"/>
      <c r="K220" s="17"/>
      <c r="L220" s="17"/>
      <c r="M220" s="17"/>
      <c r="N220" s="17"/>
      <c r="O220" s="17"/>
      <c r="P220" s="17"/>
      <c r="Q220" s="17"/>
    </row>
    <row r="221" spans="3:17">
      <c r="C221" s="17"/>
      <c r="D221" s="17"/>
      <c r="E221" s="17"/>
      <c r="F221" s="17"/>
      <c r="G221" s="17"/>
      <c r="H221" s="17"/>
      <c r="I221" s="17"/>
      <c r="J221" s="17"/>
      <c r="K221" s="17"/>
      <c r="L221" s="17"/>
      <c r="M221" s="17"/>
      <c r="N221" s="17"/>
      <c r="O221" s="17"/>
      <c r="P221" s="17"/>
      <c r="Q221" s="17"/>
    </row>
    <row r="222" spans="3:17">
      <c r="C222" s="17"/>
      <c r="D222" s="17"/>
      <c r="E222" s="17"/>
      <c r="F222" s="17"/>
      <c r="G222" s="17"/>
      <c r="H222" s="17"/>
      <c r="I222" s="17"/>
      <c r="J222" s="17"/>
      <c r="K222" s="17"/>
      <c r="L222" s="17"/>
      <c r="M222" s="17"/>
      <c r="N222" s="17"/>
      <c r="O222" s="17"/>
      <c r="P222" s="17"/>
      <c r="Q222" s="17"/>
    </row>
    <row r="223" spans="3:17">
      <c r="C223" s="17"/>
      <c r="D223" s="17"/>
      <c r="E223" s="17"/>
      <c r="F223" s="17"/>
      <c r="G223" s="17"/>
      <c r="H223" s="17"/>
      <c r="I223" s="17"/>
      <c r="J223" s="17"/>
      <c r="K223" s="17"/>
      <c r="L223" s="17"/>
      <c r="M223" s="17"/>
      <c r="N223" s="17"/>
      <c r="O223" s="17"/>
      <c r="P223" s="17"/>
      <c r="Q223" s="17"/>
    </row>
    <row r="224" spans="3:17">
      <c r="C224" s="17"/>
      <c r="D224" s="17"/>
      <c r="E224" s="17"/>
      <c r="F224" s="17"/>
      <c r="G224" s="17"/>
      <c r="H224" s="17"/>
      <c r="I224" s="17"/>
      <c r="J224" s="17"/>
      <c r="K224" s="17"/>
      <c r="L224" s="17"/>
      <c r="M224" s="17"/>
      <c r="N224" s="17"/>
      <c r="O224" s="17"/>
      <c r="P224" s="17"/>
      <c r="Q224" s="17"/>
    </row>
    <row r="225" spans="3:17">
      <c r="C225" s="17"/>
      <c r="D225" s="17"/>
      <c r="E225" s="17"/>
      <c r="F225" s="17"/>
      <c r="G225" s="17"/>
      <c r="H225" s="17"/>
      <c r="I225" s="17"/>
      <c r="J225" s="17"/>
      <c r="K225" s="17"/>
      <c r="L225" s="17"/>
      <c r="M225" s="17"/>
      <c r="N225" s="17"/>
      <c r="O225" s="17"/>
      <c r="P225" s="17"/>
      <c r="Q225" s="17"/>
    </row>
    <row r="226" spans="3:17">
      <c r="C226" s="17"/>
      <c r="D226" s="17"/>
      <c r="E226" s="17"/>
      <c r="F226" s="17"/>
      <c r="G226" s="17"/>
      <c r="H226" s="17"/>
      <c r="I226" s="17"/>
      <c r="J226" s="17"/>
      <c r="K226" s="17"/>
      <c r="L226" s="17"/>
      <c r="M226" s="17"/>
      <c r="N226" s="17"/>
      <c r="O226" s="17"/>
      <c r="P226" s="17"/>
      <c r="Q226" s="17"/>
    </row>
    <row r="227" spans="3:17">
      <c r="C227" s="17"/>
      <c r="D227" s="17"/>
      <c r="E227" s="17"/>
      <c r="F227" s="17"/>
      <c r="G227" s="17"/>
      <c r="H227" s="17"/>
      <c r="I227" s="17"/>
      <c r="J227" s="17"/>
      <c r="K227" s="17"/>
      <c r="L227" s="17"/>
      <c r="M227" s="17"/>
      <c r="N227" s="17"/>
      <c r="O227" s="17"/>
      <c r="P227" s="17"/>
      <c r="Q227" s="17"/>
    </row>
    <row r="228" spans="3:17">
      <c r="C228" s="17"/>
      <c r="D228" s="17"/>
      <c r="E228" s="17"/>
      <c r="F228" s="17"/>
      <c r="G228" s="17"/>
      <c r="H228" s="17"/>
      <c r="I228" s="17"/>
      <c r="J228" s="17"/>
      <c r="K228" s="17"/>
      <c r="L228" s="17"/>
      <c r="M228" s="17"/>
      <c r="N228" s="17"/>
      <c r="O228" s="17"/>
      <c r="P228" s="17"/>
      <c r="Q228" s="17"/>
    </row>
    <row r="229" spans="3:17">
      <c r="C229" s="17"/>
      <c r="D229" s="17"/>
      <c r="E229" s="17"/>
      <c r="F229" s="17"/>
      <c r="G229" s="17"/>
      <c r="H229" s="17"/>
      <c r="I229" s="17"/>
      <c r="J229" s="17"/>
      <c r="K229" s="17"/>
      <c r="L229" s="17"/>
      <c r="M229" s="17"/>
      <c r="N229" s="17"/>
      <c r="O229" s="17"/>
      <c r="P229" s="17"/>
      <c r="Q229" s="17"/>
    </row>
    <row r="230" spans="3:17">
      <c r="C230" s="17"/>
      <c r="D230" s="17"/>
      <c r="E230" s="17"/>
      <c r="F230" s="17"/>
      <c r="G230" s="17"/>
      <c r="H230" s="17"/>
      <c r="I230" s="17"/>
      <c r="J230" s="17"/>
      <c r="K230" s="17"/>
      <c r="L230" s="17"/>
      <c r="M230" s="17"/>
      <c r="N230" s="17"/>
      <c r="O230" s="17"/>
      <c r="P230" s="17"/>
      <c r="Q230" s="17"/>
    </row>
    <row r="231" spans="3:17">
      <c r="C231" s="17"/>
      <c r="D231" s="17"/>
      <c r="E231" s="17"/>
      <c r="F231" s="17"/>
      <c r="G231" s="17"/>
      <c r="H231" s="17"/>
      <c r="I231" s="17"/>
      <c r="J231" s="17"/>
      <c r="K231" s="17"/>
      <c r="L231" s="17"/>
      <c r="M231" s="17"/>
      <c r="N231" s="17"/>
      <c r="O231" s="17"/>
      <c r="P231" s="17"/>
      <c r="Q231" s="17"/>
    </row>
    <row r="232" spans="3:17">
      <c r="C232" s="17"/>
      <c r="D232" s="17"/>
      <c r="E232" s="17"/>
      <c r="F232" s="17"/>
      <c r="G232" s="17"/>
      <c r="H232" s="17"/>
      <c r="I232" s="17"/>
      <c r="J232" s="17"/>
      <c r="K232" s="17"/>
      <c r="L232" s="17"/>
      <c r="M232" s="17"/>
      <c r="N232" s="17"/>
      <c r="O232" s="17"/>
      <c r="P232" s="17"/>
      <c r="Q232" s="17"/>
    </row>
    <row r="233" spans="3:17">
      <c r="C233" s="17"/>
      <c r="D233" s="17"/>
      <c r="E233" s="17"/>
      <c r="F233" s="17"/>
      <c r="G233" s="17"/>
      <c r="H233" s="17"/>
      <c r="I233" s="17"/>
      <c r="J233" s="17"/>
      <c r="K233" s="17"/>
      <c r="L233" s="17"/>
      <c r="M233" s="17"/>
      <c r="N233" s="17"/>
      <c r="O233" s="17"/>
      <c r="P233" s="17"/>
      <c r="Q233" s="17"/>
    </row>
    <row r="234" spans="3:17">
      <c r="C234" s="17"/>
      <c r="D234" s="17"/>
      <c r="E234" s="17"/>
      <c r="F234" s="17"/>
      <c r="G234" s="17"/>
      <c r="H234" s="17"/>
      <c r="I234" s="17"/>
      <c r="J234" s="17"/>
      <c r="K234" s="17"/>
      <c r="L234" s="17"/>
      <c r="M234" s="17"/>
      <c r="N234" s="17"/>
      <c r="O234" s="17"/>
      <c r="P234" s="17"/>
      <c r="Q234" s="17"/>
    </row>
    <row r="235" spans="3:17">
      <c r="C235" s="17"/>
      <c r="D235" s="17"/>
      <c r="E235" s="17"/>
      <c r="F235" s="17"/>
      <c r="G235" s="17"/>
      <c r="H235" s="17"/>
      <c r="I235" s="17"/>
      <c r="J235" s="17"/>
      <c r="K235" s="17"/>
      <c r="L235" s="17"/>
      <c r="M235" s="17"/>
      <c r="N235" s="17"/>
      <c r="O235" s="17"/>
      <c r="P235" s="17"/>
      <c r="Q235" s="17"/>
    </row>
    <row r="236" spans="3:17">
      <c r="C236" s="17"/>
      <c r="D236" s="17"/>
      <c r="E236" s="17"/>
      <c r="F236" s="17"/>
      <c r="G236" s="17"/>
      <c r="H236" s="17"/>
      <c r="I236" s="17"/>
      <c r="J236" s="17"/>
      <c r="K236" s="17"/>
      <c r="L236" s="17"/>
      <c r="M236" s="17"/>
      <c r="N236" s="17"/>
      <c r="O236" s="17"/>
      <c r="P236" s="17"/>
      <c r="Q236" s="17"/>
    </row>
    <row r="237" spans="3:17">
      <c r="C237" s="17"/>
      <c r="D237" s="17"/>
      <c r="E237" s="17"/>
      <c r="F237" s="17"/>
      <c r="G237" s="17"/>
      <c r="H237" s="17"/>
      <c r="I237" s="17"/>
      <c r="J237" s="17"/>
      <c r="K237" s="17"/>
      <c r="L237" s="17"/>
      <c r="M237" s="17"/>
      <c r="N237" s="17"/>
      <c r="O237" s="17"/>
      <c r="P237" s="17"/>
      <c r="Q237" s="17"/>
    </row>
    <row r="238" spans="3:17">
      <c r="C238" s="17"/>
      <c r="D238" s="17"/>
      <c r="E238" s="17"/>
      <c r="F238" s="17"/>
      <c r="G238" s="17"/>
      <c r="H238" s="17"/>
      <c r="I238" s="17"/>
      <c r="J238" s="17"/>
      <c r="K238" s="17"/>
      <c r="L238" s="17"/>
      <c r="M238" s="17"/>
      <c r="N238" s="17"/>
      <c r="O238" s="17"/>
      <c r="P238" s="17"/>
      <c r="Q238" s="17"/>
    </row>
    <row r="239" spans="3:17">
      <c r="C239" s="17"/>
      <c r="D239" s="17"/>
      <c r="E239" s="17"/>
      <c r="F239" s="17"/>
      <c r="G239" s="17"/>
      <c r="H239" s="17"/>
      <c r="I239" s="17"/>
      <c r="J239" s="17"/>
      <c r="K239" s="17"/>
      <c r="L239" s="17"/>
      <c r="M239" s="17"/>
      <c r="N239" s="17"/>
      <c r="O239" s="17"/>
      <c r="P239" s="17"/>
      <c r="Q239" s="17"/>
    </row>
    <row r="240" spans="3:17">
      <c r="C240" s="17"/>
      <c r="D240" s="17"/>
      <c r="E240" s="17"/>
      <c r="F240" s="17"/>
      <c r="G240" s="17"/>
      <c r="H240" s="17"/>
      <c r="I240" s="17"/>
      <c r="J240" s="17"/>
      <c r="K240" s="17"/>
      <c r="L240" s="17"/>
      <c r="M240" s="17"/>
      <c r="N240" s="17"/>
      <c r="O240" s="17"/>
      <c r="P240" s="17"/>
      <c r="Q240" s="17"/>
    </row>
    <row r="241" spans="3:17">
      <c r="C241" s="17"/>
      <c r="D241" s="17"/>
      <c r="E241" s="17"/>
      <c r="F241" s="17"/>
      <c r="G241" s="17"/>
      <c r="H241" s="17"/>
      <c r="I241" s="17"/>
      <c r="J241" s="17"/>
      <c r="K241" s="17"/>
      <c r="L241" s="17"/>
      <c r="M241" s="17"/>
      <c r="N241" s="17"/>
      <c r="O241" s="17"/>
      <c r="P241" s="17"/>
      <c r="Q241" s="17"/>
    </row>
    <row r="242" spans="3:17">
      <c r="C242" s="17"/>
      <c r="D242" s="17"/>
      <c r="E242" s="17"/>
      <c r="F242" s="17"/>
      <c r="G242" s="17"/>
      <c r="H242" s="17"/>
      <c r="I242" s="17"/>
      <c r="J242" s="17"/>
      <c r="K242" s="17"/>
      <c r="L242" s="17"/>
      <c r="M242" s="17"/>
      <c r="N242" s="17"/>
      <c r="O242" s="17"/>
      <c r="P242" s="17"/>
      <c r="Q242" s="17"/>
    </row>
    <row r="243" spans="3:17">
      <c r="C243" s="17"/>
      <c r="D243" s="17"/>
      <c r="E243" s="17"/>
      <c r="F243" s="17"/>
      <c r="G243" s="17"/>
      <c r="H243" s="17"/>
      <c r="I243" s="17"/>
      <c r="J243" s="17"/>
      <c r="K243" s="17"/>
      <c r="L243" s="17"/>
      <c r="M243" s="17"/>
      <c r="N243" s="17"/>
      <c r="O243" s="17"/>
      <c r="P243" s="17"/>
      <c r="Q243" s="17"/>
    </row>
    <row r="244" spans="3:17">
      <c r="C244" s="17"/>
      <c r="D244" s="17"/>
      <c r="E244" s="17"/>
      <c r="F244" s="17"/>
      <c r="G244" s="17"/>
      <c r="H244" s="17"/>
      <c r="I244" s="17"/>
      <c r="J244" s="17"/>
      <c r="K244" s="17"/>
      <c r="L244" s="17"/>
      <c r="M244" s="17"/>
      <c r="N244" s="17"/>
      <c r="O244" s="17"/>
      <c r="P244" s="17"/>
      <c r="Q244" s="17"/>
    </row>
    <row r="245" spans="3:17">
      <c r="C245" s="17"/>
      <c r="D245" s="17"/>
      <c r="E245" s="17"/>
      <c r="F245" s="17"/>
      <c r="G245" s="17"/>
      <c r="H245" s="17"/>
      <c r="I245" s="17"/>
      <c r="J245" s="17"/>
      <c r="K245" s="17"/>
      <c r="L245" s="17"/>
      <c r="M245" s="17"/>
      <c r="N245" s="17"/>
      <c r="O245" s="17"/>
      <c r="P245" s="17"/>
      <c r="Q245" s="17"/>
    </row>
    <row r="246" spans="3:17">
      <c r="C246" s="17"/>
      <c r="D246" s="17"/>
      <c r="E246" s="17"/>
      <c r="F246" s="17"/>
      <c r="G246" s="17"/>
      <c r="H246" s="17"/>
      <c r="I246" s="17"/>
      <c r="J246" s="17"/>
      <c r="K246" s="17"/>
      <c r="L246" s="17"/>
      <c r="M246" s="17"/>
      <c r="N246" s="17"/>
      <c r="O246" s="17"/>
      <c r="P246" s="17"/>
      <c r="Q246" s="17"/>
    </row>
    <row r="247" spans="3:17">
      <c r="C247" s="17"/>
      <c r="D247" s="17"/>
      <c r="E247" s="17"/>
      <c r="F247" s="17"/>
      <c r="G247" s="17"/>
      <c r="H247" s="17"/>
      <c r="I247" s="17"/>
      <c r="J247" s="17"/>
      <c r="K247" s="17"/>
      <c r="L247" s="17"/>
      <c r="M247" s="17"/>
      <c r="N247" s="17"/>
      <c r="O247" s="17"/>
      <c r="P247" s="17"/>
      <c r="Q247" s="17"/>
    </row>
    <row r="248" spans="3:17">
      <c r="C248" s="17"/>
      <c r="D248" s="17"/>
      <c r="E248" s="17"/>
      <c r="F248" s="17"/>
      <c r="G248" s="17"/>
      <c r="H248" s="17"/>
      <c r="I248" s="17"/>
      <c r="J248" s="17"/>
      <c r="K248" s="17"/>
      <c r="L248" s="17"/>
      <c r="M248" s="17"/>
      <c r="N248" s="17"/>
      <c r="O248" s="17"/>
      <c r="P248" s="17"/>
      <c r="Q248" s="17"/>
    </row>
    <row r="249" spans="3:17">
      <c r="C249" s="17"/>
      <c r="D249" s="17"/>
      <c r="E249" s="17"/>
      <c r="F249" s="17"/>
      <c r="G249" s="17"/>
      <c r="H249" s="17"/>
      <c r="I249" s="17"/>
      <c r="J249" s="17"/>
      <c r="K249" s="17"/>
      <c r="L249" s="17"/>
      <c r="M249" s="17"/>
      <c r="N249" s="17"/>
      <c r="O249" s="17"/>
      <c r="P249" s="17"/>
      <c r="Q249" s="17"/>
    </row>
    <row r="250" spans="3:17">
      <c r="C250" s="17"/>
      <c r="D250" s="17"/>
      <c r="E250" s="17"/>
      <c r="F250" s="17"/>
      <c r="G250" s="17"/>
      <c r="H250" s="17"/>
      <c r="I250" s="17"/>
      <c r="J250" s="17"/>
      <c r="K250" s="17"/>
      <c r="L250" s="17"/>
      <c r="M250" s="17"/>
      <c r="N250" s="17"/>
      <c r="O250" s="17"/>
      <c r="P250" s="17"/>
      <c r="Q250" s="17"/>
    </row>
    <row r="251" spans="3:17">
      <c r="C251" s="17"/>
      <c r="D251" s="17"/>
      <c r="E251" s="17"/>
      <c r="F251" s="17"/>
      <c r="G251" s="17"/>
      <c r="H251" s="17"/>
      <c r="I251" s="17"/>
      <c r="J251" s="17"/>
      <c r="K251" s="17"/>
      <c r="L251" s="17"/>
      <c r="M251" s="17"/>
      <c r="N251" s="17"/>
      <c r="O251" s="17"/>
      <c r="P251" s="17"/>
      <c r="Q251" s="17"/>
    </row>
    <row r="252" spans="3:17">
      <c r="C252" s="17"/>
      <c r="D252" s="17"/>
      <c r="E252" s="17"/>
      <c r="F252" s="17"/>
      <c r="G252" s="17"/>
      <c r="H252" s="17"/>
      <c r="I252" s="17"/>
      <c r="J252" s="17"/>
      <c r="K252" s="17"/>
      <c r="L252" s="17"/>
      <c r="M252" s="17"/>
      <c r="N252" s="17"/>
      <c r="O252" s="17"/>
      <c r="P252" s="17"/>
      <c r="Q252" s="17"/>
    </row>
    <row r="253" spans="3:17">
      <c r="C253" s="17"/>
      <c r="D253" s="17"/>
      <c r="E253" s="17"/>
      <c r="F253" s="17"/>
      <c r="G253" s="17"/>
      <c r="H253" s="17"/>
      <c r="I253" s="17"/>
      <c r="J253" s="17"/>
      <c r="K253" s="17"/>
      <c r="L253" s="17"/>
      <c r="M253" s="17"/>
      <c r="N253" s="17"/>
      <c r="O253" s="17"/>
      <c r="P253" s="17"/>
      <c r="Q253" s="17"/>
    </row>
    <row r="254" spans="3:17">
      <c r="C254" s="17"/>
      <c r="D254" s="17"/>
      <c r="E254" s="17"/>
      <c r="F254" s="17"/>
      <c r="G254" s="17"/>
      <c r="H254" s="17"/>
      <c r="I254" s="17"/>
      <c r="J254" s="17"/>
      <c r="K254" s="17"/>
      <c r="L254" s="17"/>
      <c r="M254" s="17"/>
      <c r="N254" s="17"/>
      <c r="O254" s="17"/>
      <c r="P254" s="17"/>
      <c r="Q254" s="17"/>
    </row>
    <row r="255" spans="3:17">
      <c r="C255" s="17"/>
      <c r="D255" s="17"/>
      <c r="E255" s="17"/>
      <c r="F255" s="17"/>
      <c r="G255" s="17"/>
      <c r="H255" s="17"/>
      <c r="I255" s="17"/>
      <c r="J255" s="17"/>
      <c r="K255" s="17"/>
      <c r="L255" s="17"/>
      <c r="M255" s="17"/>
      <c r="N255" s="17"/>
      <c r="O255" s="17"/>
      <c r="P255" s="17"/>
      <c r="Q255" s="17"/>
    </row>
    <row r="256" spans="3:17">
      <c r="C256" s="17"/>
      <c r="D256" s="17"/>
      <c r="E256" s="17"/>
      <c r="F256" s="17"/>
      <c r="G256" s="17"/>
      <c r="H256" s="17"/>
      <c r="I256" s="17"/>
      <c r="J256" s="17"/>
      <c r="K256" s="17"/>
      <c r="L256" s="17"/>
      <c r="M256" s="17"/>
      <c r="N256" s="17"/>
      <c r="O256" s="17"/>
      <c r="P256" s="17"/>
      <c r="Q256" s="17"/>
    </row>
    <row r="257" spans="3:17">
      <c r="C257" s="17"/>
      <c r="D257" s="17"/>
      <c r="E257" s="17"/>
      <c r="F257" s="17"/>
      <c r="G257" s="17"/>
      <c r="H257" s="17"/>
      <c r="I257" s="17"/>
      <c r="J257" s="17"/>
      <c r="K257" s="17"/>
      <c r="L257" s="17"/>
      <c r="M257" s="17"/>
      <c r="N257" s="17"/>
      <c r="O257" s="17"/>
      <c r="P257" s="17"/>
      <c r="Q257" s="17"/>
    </row>
    <row r="258" spans="3:17">
      <c r="C258" s="17"/>
      <c r="D258" s="17"/>
      <c r="E258" s="17"/>
      <c r="F258" s="17"/>
      <c r="G258" s="17"/>
      <c r="H258" s="17"/>
      <c r="I258" s="17"/>
      <c r="J258" s="17"/>
      <c r="K258" s="17"/>
      <c r="L258" s="17"/>
      <c r="M258" s="17"/>
      <c r="N258" s="17"/>
      <c r="O258" s="17"/>
      <c r="P258" s="17"/>
      <c r="Q258" s="17"/>
    </row>
    <row r="259" spans="3:17">
      <c r="C259" s="17"/>
      <c r="D259" s="17"/>
      <c r="E259" s="17"/>
      <c r="F259" s="17"/>
      <c r="G259" s="17"/>
      <c r="H259" s="17"/>
      <c r="I259" s="17"/>
      <c r="J259" s="17"/>
      <c r="K259" s="17"/>
      <c r="L259" s="17"/>
      <c r="M259" s="17"/>
      <c r="N259" s="17"/>
      <c r="O259" s="17"/>
      <c r="P259" s="17"/>
      <c r="Q259" s="17"/>
    </row>
    <row r="260" spans="3:17">
      <c r="C260" s="17"/>
      <c r="D260" s="17"/>
      <c r="E260" s="17"/>
      <c r="F260" s="17"/>
      <c r="G260" s="17"/>
      <c r="H260" s="17"/>
      <c r="I260" s="17"/>
      <c r="J260" s="17"/>
      <c r="K260" s="17"/>
      <c r="L260" s="17"/>
      <c r="M260" s="17"/>
      <c r="N260" s="17"/>
      <c r="O260" s="17"/>
      <c r="P260" s="17"/>
      <c r="Q260" s="17"/>
    </row>
    <row r="261" spans="3:17">
      <c r="C261" s="17"/>
      <c r="D261" s="17"/>
      <c r="E261" s="17"/>
      <c r="F261" s="17"/>
      <c r="G261" s="17"/>
      <c r="H261" s="17"/>
      <c r="I261" s="17"/>
      <c r="J261" s="17"/>
      <c r="K261" s="17"/>
      <c r="L261" s="17"/>
      <c r="M261" s="17"/>
      <c r="N261" s="17"/>
      <c r="O261" s="17"/>
      <c r="P261" s="17"/>
      <c r="Q261" s="17"/>
    </row>
    <row r="262" spans="3:17">
      <c r="C262" s="17"/>
      <c r="D262" s="17"/>
      <c r="E262" s="17"/>
      <c r="F262" s="17"/>
      <c r="G262" s="17"/>
      <c r="H262" s="17"/>
      <c r="I262" s="17"/>
      <c r="J262" s="17"/>
      <c r="K262" s="17"/>
      <c r="L262" s="17"/>
      <c r="M262" s="17"/>
      <c r="N262" s="17"/>
      <c r="O262" s="17"/>
      <c r="P262" s="17"/>
      <c r="Q262" s="17"/>
    </row>
    <row r="263" spans="3:17">
      <c r="C263" s="17"/>
      <c r="D263" s="17"/>
      <c r="E263" s="17"/>
      <c r="F263" s="17"/>
      <c r="G263" s="17"/>
      <c r="H263" s="17"/>
      <c r="I263" s="17"/>
      <c r="J263" s="17"/>
      <c r="K263" s="17"/>
      <c r="L263" s="17"/>
      <c r="M263" s="17"/>
      <c r="N263" s="17"/>
      <c r="O263" s="17"/>
      <c r="P263" s="17"/>
      <c r="Q263" s="17"/>
    </row>
    <row r="264" spans="3:17">
      <c r="C264" s="17"/>
      <c r="D264" s="17"/>
      <c r="E264" s="17"/>
      <c r="F264" s="17"/>
      <c r="G264" s="17"/>
      <c r="H264" s="17"/>
      <c r="I264" s="17"/>
      <c r="J264" s="17"/>
      <c r="K264" s="17"/>
      <c r="L264" s="17"/>
      <c r="M264" s="17"/>
      <c r="N264" s="17"/>
      <c r="O264" s="17"/>
      <c r="P264" s="17"/>
      <c r="Q264" s="17"/>
    </row>
    <row r="265" spans="3:17">
      <c r="C265" s="17"/>
      <c r="D265" s="17"/>
      <c r="E265" s="17"/>
      <c r="F265" s="17"/>
      <c r="G265" s="17"/>
      <c r="H265" s="17"/>
      <c r="I265" s="17"/>
      <c r="J265" s="17"/>
      <c r="K265" s="17"/>
      <c r="L265" s="17"/>
      <c r="M265" s="17"/>
      <c r="N265" s="17"/>
      <c r="O265" s="17"/>
      <c r="P265" s="17"/>
      <c r="Q265" s="17"/>
    </row>
    <row r="266" spans="3:17">
      <c r="C266" s="17"/>
      <c r="D266" s="17"/>
      <c r="E266" s="17"/>
      <c r="F266" s="17"/>
      <c r="G266" s="17"/>
      <c r="H266" s="17"/>
      <c r="I266" s="17"/>
      <c r="J266" s="17"/>
      <c r="K266" s="17"/>
      <c r="L266" s="17"/>
      <c r="M266" s="17"/>
      <c r="N266" s="17"/>
      <c r="O266" s="17"/>
      <c r="P266" s="17"/>
      <c r="Q266" s="17"/>
    </row>
    <row r="267" spans="3:17">
      <c r="C267" s="17"/>
      <c r="D267" s="17"/>
      <c r="E267" s="17"/>
      <c r="F267" s="17"/>
      <c r="G267" s="17"/>
      <c r="H267" s="17"/>
      <c r="I267" s="17"/>
      <c r="J267" s="17"/>
      <c r="K267" s="17"/>
      <c r="L267" s="17"/>
      <c r="M267" s="17"/>
      <c r="N267" s="17"/>
      <c r="O267" s="17"/>
      <c r="P267" s="17"/>
      <c r="Q267" s="17"/>
    </row>
    <row r="268" spans="3:17">
      <c r="C268" s="17"/>
      <c r="D268" s="17"/>
      <c r="E268" s="17"/>
      <c r="F268" s="17"/>
      <c r="G268" s="17"/>
      <c r="H268" s="17"/>
      <c r="I268" s="17"/>
      <c r="J268" s="17"/>
      <c r="K268" s="17"/>
      <c r="L268" s="17"/>
      <c r="M268" s="17"/>
      <c r="N268" s="17"/>
      <c r="O268" s="17"/>
      <c r="P268" s="17"/>
      <c r="Q268" s="17"/>
    </row>
    <row r="269" spans="3:17">
      <c r="C269" s="17"/>
      <c r="D269" s="17"/>
      <c r="E269" s="17"/>
      <c r="F269" s="17"/>
      <c r="G269" s="17"/>
      <c r="H269" s="17"/>
      <c r="I269" s="17"/>
      <c r="J269" s="17"/>
      <c r="K269" s="17"/>
      <c r="L269" s="17"/>
      <c r="M269" s="17"/>
      <c r="N269" s="17"/>
      <c r="O269" s="17"/>
      <c r="P269" s="17"/>
      <c r="Q269" s="17"/>
    </row>
    <row r="270" spans="3:17">
      <c r="C270" s="17"/>
      <c r="D270" s="17"/>
      <c r="E270" s="17"/>
      <c r="F270" s="17"/>
      <c r="G270" s="17"/>
      <c r="H270" s="17"/>
      <c r="I270" s="17"/>
      <c r="J270" s="17"/>
      <c r="K270" s="17"/>
      <c r="L270" s="17"/>
      <c r="M270" s="17"/>
      <c r="N270" s="17"/>
      <c r="O270" s="17"/>
      <c r="P270" s="17"/>
      <c r="Q270" s="17"/>
    </row>
    <row r="271" spans="3:17">
      <c r="C271" s="17"/>
      <c r="D271" s="17"/>
      <c r="E271" s="17"/>
      <c r="F271" s="17"/>
      <c r="G271" s="17"/>
      <c r="H271" s="17"/>
      <c r="I271" s="17"/>
      <c r="J271" s="17"/>
      <c r="K271" s="17"/>
      <c r="L271" s="17"/>
      <c r="M271" s="17"/>
      <c r="N271" s="17"/>
      <c r="O271" s="17"/>
      <c r="P271" s="17"/>
      <c r="Q271" s="17"/>
    </row>
    <row r="272" spans="3:17">
      <c r="C272" s="17"/>
      <c r="D272" s="17"/>
      <c r="E272" s="17"/>
      <c r="F272" s="17"/>
      <c r="G272" s="17"/>
      <c r="H272" s="17"/>
      <c r="I272" s="17"/>
      <c r="J272" s="17"/>
      <c r="K272" s="17"/>
      <c r="L272" s="17"/>
      <c r="M272" s="17"/>
      <c r="N272" s="17"/>
      <c r="O272" s="17"/>
      <c r="P272" s="17"/>
      <c r="Q272" s="17"/>
    </row>
    <row r="273" spans="3:17">
      <c r="C273" s="17"/>
      <c r="D273" s="17"/>
      <c r="E273" s="17"/>
      <c r="F273" s="17"/>
      <c r="G273" s="17"/>
      <c r="H273" s="17"/>
      <c r="I273" s="17"/>
      <c r="J273" s="17"/>
      <c r="K273" s="17"/>
      <c r="L273" s="17"/>
      <c r="M273" s="17"/>
      <c r="N273" s="17"/>
      <c r="O273" s="17"/>
      <c r="P273" s="17"/>
      <c r="Q273" s="17"/>
    </row>
    <row r="274" spans="3:17">
      <c r="C274" s="17"/>
      <c r="D274" s="17"/>
      <c r="E274" s="17"/>
      <c r="F274" s="17"/>
      <c r="G274" s="17"/>
      <c r="H274" s="17"/>
      <c r="I274" s="17"/>
      <c r="J274" s="17"/>
      <c r="K274" s="17"/>
      <c r="L274" s="17"/>
      <c r="M274" s="17"/>
      <c r="N274" s="17"/>
      <c r="O274" s="17"/>
      <c r="P274" s="17"/>
      <c r="Q274" s="17"/>
    </row>
    <row r="275" spans="3:17">
      <c r="C275" s="17"/>
      <c r="D275" s="17"/>
      <c r="E275" s="17"/>
      <c r="F275" s="17"/>
      <c r="G275" s="17"/>
      <c r="H275" s="17"/>
      <c r="I275" s="17"/>
      <c r="J275" s="17"/>
      <c r="K275" s="17"/>
      <c r="L275" s="17"/>
      <c r="M275" s="17"/>
      <c r="N275" s="17"/>
      <c r="O275" s="17"/>
      <c r="P275" s="17"/>
      <c r="Q275" s="17"/>
    </row>
    <row r="276" spans="3:17">
      <c r="C276" s="17"/>
      <c r="D276" s="17"/>
      <c r="E276" s="17"/>
      <c r="F276" s="17"/>
      <c r="G276" s="17"/>
      <c r="H276" s="17"/>
      <c r="I276" s="17"/>
      <c r="J276" s="17"/>
      <c r="K276" s="17"/>
      <c r="L276" s="17"/>
      <c r="M276" s="17"/>
      <c r="N276" s="17"/>
      <c r="O276" s="17"/>
      <c r="P276" s="17"/>
      <c r="Q276" s="17"/>
    </row>
    <row r="277" spans="3:17">
      <c r="C277" s="17"/>
      <c r="D277" s="17"/>
      <c r="E277" s="17"/>
      <c r="F277" s="17"/>
      <c r="G277" s="17"/>
      <c r="H277" s="17"/>
      <c r="I277" s="17"/>
      <c r="J277" s="17"/>
      <c r="K277" s="17"/>
      <c r="L277" s="17"/>
      <c r="M277" s="17"/>
      <c r="N277" s="17"/>
      <c r="O277" s="17"/>
      <c r="P277" s="17"/>
      <c r="Q277" s="17"/>
    </row>
    <row r="278" spans="3:17">
      <c r="C278" s="17"/>
      <c r="D278" s="17"/>
      <c r="E278" s="17"/>
      <c r="F278" s="17"/>
      <c r="G278" s="17"/>
      <c r="H278" s="17"/>
      <c r="I278" s="17"/>
      <c r="J278" s="17"/>
      <c r="K278" s="17"/>
      <c r="L278" s="17"/>
      <c r="M278" s="17"/>
      <c r="N278" s="17"/>
      <c r="O278" s="17"/>
      <c r="P278" s="17"/>
      <c r="Q278" s="17"/>
    </row>
    <row r="279" spans="3:17">
      <c r="C279" s="17"/>
      <c r="D279" s="17"/>
      <c r="E279" s="17"/>
      <c r="F279" s="17"/>
      <c r="G279" s="17"/>
      <c r="H279" s="17"/>
      <c r="I279" s="17"/>
      <c r="J279" s="17"/>
      <c r="K279" s="17"/>
      <c r="L279" s="17"/>
      <c r="M279" s="17"/>
      <c r="N279" s="17"/>
      <c r="O279" s="17"/>
      <c r="P279" s="17"/>
      <c r="Q279" s="17"/>
    </row>
    <row r="280" spans="3:17">
      <c r="C280" s="17"/>
      <c r="D280" s="17"/>
      <c r="E280" s="17"/>
      <c r="F280" s="17"/>
      <c r="G280" s="17"/>
      <c r="H280" s="17"/>
      <c r="I280" s="17"/>
      <c r="J280" s="17"/>
      <c r="K280" s="17"/>
      <c r="L280" s="17"/>
      <c r="M280" s="17"/>
      <c r="N280" s="17"/>
      <c r="O280" s="17"/>
      <c r="P280" s="17"/>
      <c r="Q280" s="17"/>
    </row>
    <row r="281" spans="3:17">
      <c r="C281" s="17"/>
      <c r="D281" s="17"/>
      <c r="E281" s="17"/>
      <c r="F281" s="17"/>
      <c r="G281" s="17"/>
      <c r="H281" s="17"/>
      <c r="I281" s="17"/>
      <c r="J281" s="17"/>
      <c r="K281" s="17"/>
      <c r="L281" s="17"/>
      <c r="M281" s="17"/>
      <c r="N281" s="17"/>
      <c r="O281" s="17"/>
      <c r="P281" s="17"/>
      <c r="Q281" s="17"/>
    </row>
    <row r="282" spans="3:17">
      <c r="C282" s="17"/>
      <c r="D282" s="17"/>
      <c r="E282" s="17"/>
      <c r="F282" s="17"/>
      <c r="G282" s="17"/>
      <c r="H282" s="17"/>
      <c r="I282" s="17"/>
      <c r="J282" s="17"/>
      <c r="K282" s="17"/>
      <c r="L282" s="17"/>
      <c r="M282" s="17"/>
      <c r="N282" s="17"/>
      <c r="O282" s="17"/>
      <c r="P282" s="17"/>
      <c r="Q282" s="17"/>
    </row>
    <row r="283" spans="3:17">
      <c r="C283" s="17"/>
      <c r="D283" s="17"/>
      <c r="E283" s="17"/>
      <c r="F283" s="17"/>
      <c r="G283" s="17"/>
      <c r="H283" s="17"/>
      <c r="I283" s="17"/>
      <c r="J283" s="17"/>
      <c r="K283" s="17"/>
      <c r="L283" s="17"/>
      <c r="M283" s="17"/>
      <c r="N283" s="17"/>
      <c r="O283" s="17"/>
      <c r="P283" s="17"/>
      <c r="Q283" s="17"/>
    </row>
    <row r="284" spans="3:17">
      <c r="C284" s="17"/>
      <c r="D284" s="17"/>
      <c r="E284" s="17"/>
      <c r="F284" s="17"/>
      <c r="G284" s="17"/>
      <c r="H284" s="17"/>
      <c r="I284" s="17"/>
      <c r="J284" s="17"/>
      <c r="K284" s="17"/>
      <c r="L284" s="17"/>
      <c r="M284" s="17"/>
      <c r="N284" s="17"/>
      <c r="O284" s="17"/>
      <c r="P284" s="17"/>
      <c r="Q284" s="17"/>
    </row>
    <row r="285" spans="3:17">
      <c r="C285" s="17"/>
      <c r="D285" s="17"/>
      <c r="E285" s="17"/>
      <c r="F285" s="17"/>
      <c r="G285" s="17"/>
      <c r="H285" s="17"/>
      <c r="I285" s="17"/>
      <c r="J285" s="17"/>
      <c r="K285" s="17"/>
      <c r="L285" s="17"/>
      <c r="M285" s="17"/>
      <c r="N285" s="17"/>
      <c r="O285" s="17"/>
      <c r="P285" s="17"/>
      <c r="Q285" s="17"/>
    </row>
    <row r="286" spans="3:17">
      <c r="C286" s="17"/>
      <c r="D286" s="17"/>
      <c r="E286" s="17"/>
      <c r="F286" s="17"/>
      <c r="G286" s="17"/>
      <c r="H286" s="17"/>
      <c r="I286" s="17"/>
      <c r="J286" s="17"/>
      <c r="K286" s="17"/>
      <c r="L286" s="17"/>
      <c r="M286" s="17"/>
      <c r="N286" s="17"/>
      <c r="O286" s="17"/>
      <c r="P286" s="17"/>
      <c r="Q286" s="17"/>
    </row>
    <row r="287" spans="3:17">
      <c r="C287" s="17"/>
      <c r="D287" s="17"/>
      <c r="E287" s="17"/>
      <c r="F287" s="17"/>
      <c r="G287" s="17"/>
      <c r="H287" s="17"/>
      <c r="I287" s="17"/>
      <c r="J287" s="17"/>
      <c r="K287" s="17"/>
      <c r="L287" s="17"/>
      <c r="M287" s="17"/>
      <c r="N287" s="17"/>
      <c r="O287" s="17"/>
      <c r="P287" s="17"/>
      <c r="Q287" s="17"/>
    </row>
    <row r="288" spans="3:17">
      <c r="C288" s="17"/>
      <c r="D288" s="17"/>
      <c r="E288" s="17"/>
      <c r="F288" s="17"/>
      <c r="G288" s="17"/>
      <c r="H288" s="17"/>
      <c r="I288" s="17"/>
      <c r="J288" s="17"/>
      <c r="K288" s="17"/>
      <c r="L288" s="17"/>
      <c r="M288" s="17"/>
      <c r="N288" s="17"/>
      <c r="O288" s="17"/>
      <c r="P288" s="17"/>
      <c r="Q288" s="17"/>
    </row>
    <row r="289" spans="3:17">
      <c r="C289" s="17"/>
      <c r="D289" s="17"/>
      <c r="E289" s="17"/>
      <c r="F289" s="17"/>
      <c r="G289" s="17"/>
      <c r="H289" s="17"/>
      <c r="I289" s="17"/>
      <c r="J289" s="17"/>
      <c r="K289" s="17"/>
      <c r="L289" s="17"/>
      <c r="M289" s="17"/>
      <c r="N289" s="17"/>
      <c r="O289" s="17"/>
      <c r="P289" s="17"/>
      <c r="Q289" s="17"/>
    </row>
    <row r="290" spans="3:17">
      <c r="C290" s="17"/>
      <c r="D290" s="17"/>
      <c r="E290" s="17"/>
      <c r="F290" s="17"/>
      <c r="G290" s="17"/>
      <c r="H290" s="17"/>
      <c r="I290" s="17"/>
      <c r="J290" s="17"/>
      <c r="K290" s="17"/>
      <c r="L290" s="17"/>
      <c r="M290" s="17"/>
      <c r="N290" s="17"/>
      <c r="O290" s="17"/>
      <c r="P290" s="17"/>
      <c r="Q290" s="17"/>
    </row>
    <row r="291" spans="3:17">
      <c r="C291" s="17"/>
      <c r="D291" s="17"/>
      <c r="E291" s="17"/>
      <c r="F291" s="17"/>
      <c r="G291" s="17"/>
      <c r="H291" s="17"/>
      <c r="I291" s="17"/>
      <c r="J291" s="17"/>
      <c r="K291" s="17"/>
      <c r="L291" s="17"/>
      <c r="M291" s="17"/>
      <c r="N291" s="17"/>
      <c r="O291" s="17"/>
      <c r="P291" s="17"/>
      <c r="Q291" s="17"/>
    </row>
    <row r="292" spans="3:17">
      <c r="C292" s="17"/>
      <c r="D292" s="17"/>
      <c r="E292" s="17"/>
      <c r="F292" s="17"/>
      <c r="G292" s="17"/>
      <c r="H292" s="17"/>
      <c r="I292" s="17"/>
      <c r="J292" s="17"/>
      <c r="K292" s="17"/>
      <c r="L292" s="17"/>
      <c r="M292" s="17"/>
      <c r="N292" s="17"/>
      <c r="O292" s="17"/>
      <c r="P292" s="17"/>
      <c r="Q292" s="17"/>
    </row>
    <row r="293" spans="3:17">
      <c r="C293" s="17"/>
      <c r="D293" s="17"/>
      <c r="E293" s="17"/>
      <c r="F293" s="17"/>
      <c r="G293" s="17"/>
      <c r="H293" s="17"/>
      <c r="I293" s="17"/>
      <c r="J293" s="17"/>
      <c r="K293" s="17"/>
      <c r="L293" s="17"/>
      <c r="M293" s="17"/>
      <c r="N293" s="17"/>
      <c r="O293" s="17"/>
      <c r="P293" s="17"/>
      <c r="Q293" s="17"/>
    </row>
    <row r="294" spans="3:17">
      <c r="C294" s="17"/>
      <c r="D294" s="17"/>
      <c r="E294" s="17"/>
      <c r="F294" s="17"/>
      <c r="G294" s="17"/>
      <c r="H294" s="17"/>
      <c r="I294" s="17"/>
      <c r="J294" s="17"/>
      <c r="K294" s="17"/>
      <c r="L294" s="17"/>
      <c r="M294" s="17"/>
      <c r="N294" s="17"/>
      <c r="O294" s="17"/>
      <c r="P294" s="17"/>
      <c r="Q294" s="17"/>
    </row>
    <row r="295" spans="3:17">
      <c r="C295" s="17"/>
      <c r="D295" s="17"/>
      <c r="E295" s="17"/>
      <c r="F295" s="17"/>
      <c r="G295" s="17"/>
      <c r="H295" s="17"/>
      <c r="I295" s="17"/>
      <c r="J295" s="17"/>
      <c r="K295" s="17"/>
      <c r="L295" s="17"/>
      <c r="M295" s="17"/>
      <c r="N295" s="17"/>
      <c r="O295" s="17"/>
      <c r="P295" s="17"/>
      <c r="Q295" s="17"/>
    </row>
    <row r="296" spans="3:17">
      <c r="C296" s="17"/>
      <c r="D296" s="17"/>
      <c r="E296" s="17"/>
      <c r="F296" s="17"/>
      <c r="G296" s="17"/>
      <c r="H296" s="17"/>
      <c r="I296" s="17"/>
      <c r="J296" s="17"/>
      <c r="K296" s="17"/>
      <c r="L296" s="17"/>
      <c r="M296" s="17"/>
      <c r="N296" s="17"/>
      <c r="O296" s="17"/>
      <c r="P296" s="17"/>
      <c r="Q296" s="17"/>
    </row>
    <row r="297" spans="3:17">
      <c r="C297" s="17"/>
      <c r="D297" s="17"/>
      <c r="E297" s="17"/>
      <c r="F297" s="17"/>
      <c r="G297" s="17"/>
      <c r="H297" s="17"/>
      <c r="I297" s="17"/>
      <c r="J297" s="17"/>
      <c r="K297" s="17"/>
      <c r="L297" s="17"/>
      <c r="M297" s="17"/>
      <c r="N297" s="17"/>
      <c r="O297" s="17"/>
      <c r="P297" s="17"/>
      <c r="Q297" s="17"/>
    </row>
    <row r="298" spans="3:17">
      <c r="C298" s="17"/>
      <c r="D298" s="17"/>
      <c r="E298" s="17"/>
      <c r="F298" s="17"/>
      <c r="G298" s="17"/>
      <c r="H298" s="17"/>
      <c r="I298" s="17"/>
      <c r="J298" s="17"/>
      <c r="K298" s="17"/>
      <c r="L298" s="17"/>
      <c r="M298" s="17"/>
      <c r="N298" s="17"/>
      <c r="O298" s="17"/>
      <c r="P298" s="17"/>
      <c r="Q298" s="17"/>
    </row>
    <row r="299" spans="3:17">
      <c r="C299" s="17"/>
      <c r="D299" s="17"/>
      <c r="E299" s="17"/>
      <c r="F299" s="17"/>
      <c r="G299" s="17"/>
      <c r="H299" s="17"/>
      <c r="I299" s="17"/>
      <c r="J299" s="17"/>
      <c r="K299" s="17"/>
      <c r="L299" s="17"/>
      <c r="M299" s="17"/>
      <c r="N299" s="17"/>
      <c r="O299" s="17"/>
      <c r="P299" s="17"/>
      <c r="Q299" s="17"/>
    </row>
    <row r="300" spans="3:17">
      <c r="C300" s="17"/>
      <c r="D300" s="17"/>
      <c r="E300" s="17"/>
      <c r="F300" s="17"/>
      <c r="G300" s="17"/>
      <c r="H300" s="17"/>
      <c r="I300" s="17"/>
      <c r="J300" s="17"/>
      <c r="K300" s="17"/>
      <c r="L300" s="17"/>
      <c r="M300" s="17"/>
      <c r="N300" s="17"/>
      <c r="O300" s="17"/>
      <c r="P300" s="17"/>
      <c r="Q300" s="17"/>
    </row>
    <row r="301" spans="3:17">
      <c r="C301" s="17"/>
      <c r="D301" s="17"/>
      <c r="E301" s="17"/>
      <c r="F301" s="17"/>
      <c r="G301" s="17"/>
      <c r="H301" s="17"/>
      <c r="I301" s="17"/>
      <c r="J301" s="17"/>
      <c r="K301" s="17"/>
      <c r="L301" s="17"/>
      <c r="M301" s="17"/>
      <c r="N301" s="17"/>
      <c r="O301" s="17"/>
      <c r="P301" s="17"/>
      <c r="Q301" s="17"/>
    </row>
    <row r="302" spans="3:17">
      <c r="C302" s="17"/>
      <c r="D302" s="17"/>
      <c r="E302" s="17"/>
      <c r="F302" s="17"/>
      <c r="G302" s="17"/>
      <c r="H302" s="17"/>
      <c r="I302" s="17"/>
      <c r="J302" s="17"/>
      <c r="K302" s="17"/>
      <c r="L302" s="17"/>
      <c r="M302" s="17"/>
      <c r="N302" s="17"/>
      <c r="O302" s="17"/>
      <c r="P302" s="17"/>
      <c r="Q302" s="17"/>
    </row>
    <row r="303" spans="3:17">
      <c r="C303" s="17"/>
      <c r="D303" s="17"/>
      <c r="E303" s="17"/>
      <c r="F303" s="17"/>
      <c r="G303" s="17"/>
      <c r="H303" s="17"/>
      <c r="I303" s="17"/>
      <c r="J303" s="17"/>
      <c r="K303" s="17"/>
      <c r="L303" s="17"/>
      <c r="M303" s="17"/>
      <c r="N303" s="17"/>
      <c r="O303" s="17"/>
      <c r="P303" s="17"/>
      <c r="Q303" s="17"/>
    </row>
    <row r="304" spans="3:17">
      <c r="C304" s="17"/>
      <c r="D304" s="17"/>
      <c r="E304" s="17"/>
      <c r="F304" s="17"/>
      <c r="G304" s="17"/>
      <c r="H304" s="17"/>
      <c r="I304" s="17"/>
      <c r="J304" s="17"/>
      <c r="K304" s="17"/>
      <c r="L304" s="17"/>
      <c r="M304" s="17"/>
      <c r="N304" s="17"/>
      <c r="O304" s="17"/>
      <c r="P304" s="17"/>
      <c r="Q304" s="17"/>
    </row>
    <row r="305" spans="3:17">
      <c r="C305" s="17"/>
      <c r="D305" s="17"/>
      <c r="E305" s="17"/>
      <c r="F305" s="17"/>
      <c r="G305" s="17"/>
      <c r="H305" s="17"/>
      <c r="I305" s="17"/>
      <c r="J305" s="17"/>
      <c r="K305" s="17"/>
      <c r="L305" s="17"/>
      <c r="M305" s="17"/>
      <c r="N305" s="17"/>
      <c r="O305" s="17"/>
      <c r="P305" s="17"/>
      <c r="Q305" s="17"/>
    </row>
    <row r="306" spans="3:17">
      <c r="C306" s="17"/>
      <c r="D306" s="17"/>
      <c r="E306" s="17"/>
      <c r="F306" s="17"/>
      <c r="G306" s="17"/>
      <c r="H306" s="17"/>
      <c r="I306" s="17"/>
      <c r="J306" s="17"/>
      <c r="K306" s="17"/>
      <c r="L306" s="17"/>
      <c r="M306" s="17"/>
      <c r="N306" s="17"/>
      <c r="O306" s="17"/>
      <c r="P306" s="17"/>
      <c r="Q306" s="17"/>
    </row>
    <row r="307" spans="3:17">
      <c r="C307" s="17"/>
      <c r="D307" s="17"/>
      <c r="E307" s="17"/>
      <c r="F307" s="17"/>
      <c r="G307" s="17"/>
      <c r="H307" s="17"/>
      <c r="I307" s="17"/>
      <c r="J307" s="17"/>
      <c r="K307" s="17"/>
      <c r="L307" s="17"/>
      <c r="M307" s="17"/>
      <c r="N307" s="17"/>
      <c r="O307" s="17"/>
      <c r="P307" s="17"/>
      <c r="Q307" s="17"/>
    </row>
    <row r="308" spans="3:17">
      <c r="C308" s="17"/>
      <c r="D308" s="17"/>
      <c r="E308" s="17"/>
      <c r="F308" s="17"/>
      <c r="G308" s="17"/>
      <c r="H308" s="17"/>
      <c r="I308" s="17"/>
      <c r="J308" s="17"/>
      <c r="K308" s="17"/>
      <c r="L308" s="17"/>
      <c r="M308" s="17"/>
      <c r="N308" s="17"/>
      <c r="O308" s="17"/>
      <c r="P308" s="17"/>
      <c r="Q308" s="17"/>
    </row>
    <row r="309" spans="3:17">
      <c r="C309" s="17"/>
      <c r="D309" s="17"/>
      <c r="E309" s="17"/>
      <c r="F309" s="17"/>
      <c r="G309" s="17"/>
      <c r="H309" s="17"/>
      <c r="I309" s="17"/>
      <c r="J309" s="17"/>
      <c r="K309" s="17"/>
      <c r="L309" s="17"/>
      <c r="M309" s="17"/>
      <c r="N309" s="17"/>
      <c r="O309" s="17"/>
      <c r="P309" s="17"/>
      <c r="Q309" s="17"/>
    </row>
    <row r="310" spans="3:17">
      <c r="C310" s="17"/>
      <c r="D310" s="17"/>
      <c r="E310" s="17"/>
      <c r="F310" s="17"/>
      <c r="G310" s="17"/>
      <c r="H310" s="17"/>
      <c r="I310" s="17"/>
      <c r="J310" s="17"/>
      <c r="K310" s="17"/>
      <c r="L310" s="17"/>
      <c r="M310" s="17"/>
      <c r="N310" s="17"/>
      <c r="O310" s="17"/>
      <c r="P310" s="17"/>
      <c r="Q310" s="17"/>
    </row>
    <row r="311" spans="3:17">
      <c r="C311" s="17"/>
      <c r="D311" s="17"/>
      <c r="E311" s="17"/>
      <c r="F311" s="17"/>
      <c r="G311" s="17"/>
      <c r="H311" s="17"/>
      <c r="I311" s="17"/>
      <c r="J311" s="17"/>
      <c r="K311" s="17"/>
      <c r="L311" s="17"/>
      <c r="M311" s="17"/>
      <c r="N311" s="17"/>
      <c r="O311" s="17"/>
      <c r="P311" s="17"/>
      <c r="Q311" s="17"/>
    </row>
    <row r="312" spans="3:17">
      <c r="C312" s="17"/>
      <c r="D312" s="17"/>
      <c r="E312" s="17"/>
      <c r="F312" s="17"/>
      <c r="G312" s="17"/>
      <c r="H312" s="17"/>
      <c r="I312" s="17"/>
      <c r="J312" s="17"/>
      <c r="K312" s="17"/>
      <c r="L312" s="17"/>
      <c r="M312" s="17"/>
      <c r="N312" s="17"/>
      <c r="O312" s="17"/>
      <c r="P312" s="17"/>
      <c r="Q312" s="17"/>
    </row>
    <row r="313" spans="3:17">
      <c r="C313" s="17"/>
      <c r="D313" s="17"/>
      <c r="E313" s="17"/>
      <c r="F313" s="17"/>
      <c r="G313" s="17"/>
      <c r="H313" s="17"/>
      <c r="I313" s="17"/>
      <c r="J313" s="17"/>
      <c r="K313" s="17"/>
      <c r="L313" s="17"/>
      <c r="M313" s="17"/>
      <c r="N313" s="17"/>
      <c r="O313" s="17"/>
      <c r="P313" s="17"/>
      <c r="Q313" s="17"/>
    </row>
    <row r="314" spans="3:17">
      <c r="C314" s="17"/>
      <c r="D314" s="17"/>
      <c r="E314" s="17"/>
      <c r="F314" s="17"/>
      <c r="G314" s="17"/>
      <c r="H314" s="17"/>
      <c r="I314" s="17"/>
      <c r="J314" s="17"/>
      <c r="K314" s="17"/>
      <c r="L314" s="17"/>
      <c r="M314" s="17"/>
      <c r="N314" s="17"/>
      <c r="O314" s="17"/>
      <c r="P314" s="17"/>
      <c r="Q314" s="17"/>
    </row>
    <row r="315" spans="3:17">
      <c r="C315" s="17"/>
      <c r="D315" s="17"/>
      <c r="E315" s="17"/>
      <c r="F315" s="17"/>
      <c r="G315" s="17"/>
      <c r="H315" s="17"/>
      <c r="I315" s="17"/>
      <c r="J315" s="17"/>
      <c r="K315" s="17"/>
      <c r="L315" s="17"/>
      <c r="M315" s="17"/>
      <c r="N315" s="17"/>
      <c r="O315" s="17"/>
      <c r="P315" s="17"/>
      <c r="Q315" s="17"/>
    </row>
    <row r="316" spans="3:17">
      <c r="C316" s="17"/>
      <c r="D316" s="17"/>
      <c r="E316" s="17"/>
      <c r="F316" s="17"/>
      <c r="G316" s="17"/>
      <c r="H316" s="17"/>
      <c r="I316" s="17"/>
      <c r="J316" s="17"/>
      <c r="K316" s="17"/>
      <c r="L316" s="17"/>
      <c r="M316" s="17"/>
      <c r="N316" s="17"/>
      <c r="O316" s="17"/>
      <c r="P316" s="17"/>
      <c r="Q316" s="17"/>
    </row>
    <row r="317" spans="3:17">
      <c r="C317" s="17"/>
      <c r="D317" s="17"/>
      <c r="E317" s="17"/>
      <c r="F317" s="17"/>
      <c r="G317" s="17"/>
      <c r="H317" s="17"/>
      <c r="I317" s="17"/>
      <c r="J317" s="17"/>
      <c r="K317" s="17"/>
      <c r="L317" s="17"/>
      <c r="M317" s="17"/>
      <c r="N317" s="17"/>
      <c r="O317" s="17"/>
      <c r="P317" s="17"/>
      <c r="Q317" s="17"/>
    </row>
    <row r="318" spans="3:17">
      <c r="C318" s="17"/>
      <c r="D318" s="17"/>
      <c r="E318" s="17"/>
      <c r="F318" s="17"/>
      <c r="G318" s="17"/>
      <c r="H318" s="17"/>
      <c r="I318" s="17"/>
      <c r="J318" s="17"/>
      <c r="K318" s="17"/>
      <c r="L318" s="17"/>
      <c r="M318" s="17"/>
      <c r="N318" s="17"/>
      <c r="O318" s="17"/>
      <c r="P318" s="17"/>
      <c r="Q318" s="17"/>
    </row>
    <row r="319" spans="3:17">
      <c r="C319" s="17"/>
      <c r="D319" s="17"/>
      <c r="E319" s="17"/>
      <c r="F319" s="17"/>
      <c r="G319" s="17"/>
      <c r="H319" s="17"/>
      <c r="I319" s="17"/>
      <c r="J319" s="17"/>
      <c r="K319" s="17"/>
      <c r="L319" s="17"/>
      <c r="M319" s="17"/>
      <c r="N319" s="17"/>
      <c r="O319" s="17"/>
      <c r="P319" s="17"/>
      <c r="Q319" s="17"/>
    </row>
    <row r="320" spans="3:17">
      <c r="C320" s="17"/>
      <c r="D320" s="17"/>
      <c r="E320" s="17"/>
      <c r="F320" s="17"/>
      <c r="G320" s="17"/>
      <c r="H320" s="17"/>
      <c r="I320" s="17"/>
      <c r="J320" s="17"/>
      <c r="K320" s="17"/>
      <c r="L320" s="17"/>
      <c r="M320" s="17"/>
      <c r="N320" s="17"/>
      <c r="O320" s="17"/>
      <c r="P320" s="17"/>
      <c r="Q320" s="17"/>
    </row>
    <row r="321" spans="3:17">
      <c r="C321" s="17"/>
      <c r="D321" s="17"/>
      <c r="E321" s="17"/>
      <c r="F321" s="17"/>
      <c r="G321" s="17"/>
      <c r="H321" s="17"/>
      <c r="I321" s="17"/>
      <c r="J321" s="17"/>
      <c r="K321" s="17"/>
      <c r="L321" s="17"/>
      <c r="M321" s="17"/>
      <c r="N321" s="17"/>
      <c r="O321" s="17"/>
      <c r="P321" s="17"/>
      <c r="Q321" s="17"/>
    </row>
    <row r="322" spans="3:17">
      <c r="C322" s="17"/>
      <c r="D322" s="17"/>
      <c r="E322" s="17"/>
      <c r="F322" s="17"/>
      <c r="G322" s="17"/>
      <c r="H322" s="17"/>
      <c r="I322" s="17"/>
      <c r="J322" s="17"/>
      <c r="K322" s="17"/>
      <c r="L322" s="17"/>
      <c r="M322" s="17"/>
      <c r="N322" s="17"/>
      <c r="O322" s="17"/>
      <c r="P322" s="17"/>
      <c r="Q322" s="17"/>
    </row>
    <row r="323" spans="3:17">
      <c r="C323" s="17"/>
      <c r="D323" s="17"/>
      <c r="E323" s="17"/>
      <c r="F323" s="17"/>
      <c r="G323" s="17"/>
      <c r="H323" s="17"/>
      <c r="I323" s="17"/>
      <c r="J323" s="17"/>
      <c r="K323" s="17"/>
      <c r="L323" s="17"/>
      <c r="M323" s="17"/>
      <c r="N323" s="17"/>
      <c r="O323" s="17"/>
      <c r="P323" s="17"/>
      <c r="Q323" s="17"/>
    </row>
    <row r="324" spans="3:17">
      <c r="C324" s="17"/>
      <c r="D324" s="17"/>
      <c r="E324" s="17"/>
      <c r="F324" s="17"/>
      <c r="G324" s="17"/>
      <c r="H324" s="17"/>
      <c r="I324" s="17"/>
      <c r="J324" s="17"/>
      <c r="K324" s="17"/>
      <c r="L324" s="17"/>
      <c r="M324" s="17"/>
      <c r="N324" s="17"/>
      <c r="O324" s="17"/>
      <c r="P324" s="17"/>
      <c r="Q324" s="17"/>
    </row>
    <row r="325" spans="3:17">
      <c r="C325" s="17"/>
      <c r="D325" s="17"/>
      <c r="E325" s="17"/>
      <c r="F325" s="17"/>
      <c r="G325" s="17"/>
      <c r="H325" s="17"/>
      <c r="I325" s="17"/>
      <c r="J325" s="17"/>
      <c r="K325" s="17"/>
      <c r="L325" s="17"/>
      <c r="M325" s="17"/>
      <c r="N325" s="17"/>
      <c r="O325" s="17"/>
      <c r="P325" s="17"/>
      <c r="Q325" s="17"/>
    </row>
    <row r="326" spans="3:17">
      <c r="C326" s="17"/>
      <c r="D326" s="17"/>
      <c r="E326" s="17"/>
      <c r="F326" s="17"/>
      <c r="G326" s="17"/>
      <c r="H326" s="17"/>
      <c r="I326" s="17"/>
      <c r="J326" s="17"/>
      <c r="K326" s="17"/>
      <c r="L326" s="17"/>
      <c r="M326" s="17"/>
      <c r="N326" s="17"/>
      <c r="O326" s="17"/>
      <c r="P326" s="17"/>
      <c r="Q326" s="17"/>
    </row>
    <row r="327" spans="3:17">
      <c r="C327" s="17"/>
      <c r="D327" s="17"/>
      <c r="E327" s="17"/>
      <c r="F327" s="17"/>
      <c r="G327" s="17"/>
      <c r="H327" s="17"/>
      <c r="I327" s="17"/>
      <c r="J327" s="17"/>
      <c r="K327" s="17"/>
      <c r="L327" s="17"/>
      <c r="M327" s="17"/>
      <c r="N327" s="17"/>
      <c r="O327" s="17"/>
      <c r="P327" s="17"/>
      <c r="Q327" s="17"/>
    </row>
    <row r="328" spans="3:17">
      <c r="C328" s="17"/>
      <c r="D328" s="17"/>
      <c r="E328" s="17"/>
      <c r="F328" s="17"/>
      <c r="G328" s="17"/>
      <c r="H328" s="17"/>
      <c r="I328" s="17"/>
      <c r="J328" s="17"/>
      <c r="K328" s="17"/>
      <c r="L328" s="17"/>
      <c r="M328" s="17"/>
      <c r="N328" s="17"/>
      <c r="O328" s="17"/>
      <c r="P328" s="17"/>
      <c r="Q328" s="17"/>
    </row>
    <row r="329" spans="3:17">
      <c r="C329" s="17"/>
      <c r="D329" s="17"/>
      <c r="E329" s="17"/>
      <c r="F329" s="17"/>
      <c r="G329" s="17"/>
      <c r="H329" s="17"/>
      <c r="I329" s="17"/>
      <c r="J329" s="17"/>
      <c r="K329" s="17"/>
      <c r="L329" s="17"/>
      <c r="M329" s="17"/>
      <c r="N329" s="17"/>
      <c r="O329" s="17"/>
      <c r="P329" s="17"/>
      <c r="Q329" s="17"/>
    </row>
    <row r="330" spans="3:17">
      <c r="C330" s="17"/>
      <c r="D330" s="17"/>
      <c r="E330" s="17"/>
      <c r="F330" s="17"/>
      <c r="G330" s="17"/>
      <c r="H330" s="17"/>
      <c r="I330" s="17"/>
      <c r="J330" s="17"/>
      <c r="K330" s="17"/>
      <c r="L330" s="17"/>
      <c r="M330" s="17"/>
      <c r="N330" s="17"/>
      <c r="O330" s="17"/>
      <c r="P330" s="17"/>
      <c r="Q330" s="17"/>
    </row>
    <row r="331" spans="3:17">
      <c r="C331" s="17"/>
      <c r="D331" s="17"/>
      <c r="E331" s="17"/>
      <c r="F331" s="17"/>
      <c r="G331" s="17"/>
      <c r="H331" s="17"/>
      <c r="I331" s="17"/>
      <c r="J331" s="17"/>
      <c r="K331" s="17"/>
      <c r="L331" s="17"/>
      <c r="M331" s="17"/>
      <c r="N331" s="17"/>
      <c r="O331" s="17"/>
      <c r="P331" s="17"/>
      <c r="Q331" s="17"/>
    </row>
    <row r="332" spans="3:17">
      <c r="C332" s="17"/>
      <c r="D332" s="17"/>
      <c r="E332" s="17"/>
      <c r="F332" s="17"/>
      <c r="G332" s="17"/>
      <c r="H332" s="17"/>
      <c r="I332" s="17"/>
      <c r="J332" s="17"/>
      <c r="K332" s="17"/>
      <c r="L332" s="17"/>
      <c r="M332" s="17"/>
      <c r="N332" s="17"/>
      <c r="O332" s="17"/>
      <c r="P332" s="17"/>
      <c r="Q332" s="17"/>
    </row>
    <row r="333" spans="3:17">
      <c r="C333" s="17"/>
      <c r="D333" s="17"/>
      <c r="E333" s="17"/>
      <c r="F333" s="17"/>
      <c r="G333" s="17"/>
      <c r="H333" s="17"/>
      <c r="I333" s="17"/>
      <c r="J333" s="17"/>
      <c r="K333" s="17"/>
      <c r="L333" s="17"/>
      <c r="M333" s="17"/>
      <c r="N333" s="17"/>
      <c r="O333" s="17"/>
      <c r="P333" s="17"/>
      <c r="Q333" s="17"/>
    </row>
    <row r="334" spans="3:17">
      <c r="C334" s="17"/>
      <c r="D334" s="17"/>
      <c r="E334" s="17"/>
      <c r="F334" s="17"/>
      <c r="G334" s="17"/>
      <c r="H334" s="17"/>
      <c r="I334" s="17"/>
      <c r="J334" s="17"/>
      <c r="K334" s="17"/>
      <c r="L334" s="17"/>
      <c r="M334" s="17"/>
      <c r="N334" s="17"/>
      <c r="O334" s="17"/>
      <c r="P334" s="17"/>
      <c r="Q334" s="17"/>
    </row>
    <row r="335" spans="3:17">
      <c r="C335" s="17"/>
      <c r="D335" s="17"/>
      <c r="E335" s="17"/>
      <c r="F335" s="17"/>
      <c r="G335" s="17"/>
      <c r="H335" s="17"/>
      <c r="I335" s="17"/>
      <c r="J335" s="17"/>
      <c r="K335" s="17"/>
      <c r="L335" s="17"/>
      <c r="M335" s="17"/>
      <c r="N335" s="17"/>
      <c r="O335" s="17"/>
      <c r="P335" s="17"/>
      <c r="Q335" s="17"/>
    </row>
  </sheetData>
  <mergeCells count="68">
    <mergeCell ref="E15:G15"/>
    <mergeCell ref="U5:U6"/>
    <mergeCell ref="V5:V6"/>
    <mergeCell ref="W5:W6"/>
    <mergeCell ref="X5:X6"/>
    <mergeCell ref="M5:M6"/>
    <mergeCell ref="N5:N6"/>
    <mergeCell ref="O5:O6"/>
    <mergeCell ref="P5:P6"/>
    <mergeCell ref="Q5:Q6"/>
    <mergeCell ref="E5:E6"/>
    <mergeCell ref="E7:G7"/>
    <mergeCell ref="F5:F6"/>
    <mergeCell ref="G5:G6"/>
    <mergeCell ref="H5:H6"/>
    <mergeCell ref="D1:AA1"/>
    <mergeCell ref="B4:C6"/>
    <mergeCell ref="I4:Q4"/>
    <mergeCell ref="R5:R6"/>
    <mergeCell ref="S5:S6"/>
    <mergeCell ref="T5:T6"/>
    <mergeCell ref="D5:D6"/>
    <mergeCell ref="Z5:Z6"/>
    <mergeCell ref="AA5:AA6"/>
    <mergeCell ref="R4:AA4"/>
    <mergeCell ref="Y5:Y6"/>
    <mergeCell ref="E4:G4"/>
    <mergeCell ref="I5:I6"/>
    <mergeCell ref="J5:J6"/>
    <mergeCell ref="K5:K6"/>
    <mergeCell ref="L5:L6"/>
    <mergeCell ref="AA50:AA51"/>
    <mergeCell ref="B88:C88"/>
    <mergeCell ref="B85:C85"/>
    <mergeCell ref="B76:C80"/>
    <mergeCell ref="B81:C81"/>
    <mergeCell ref="F72:G72"/>
    <mergeCell ref="B83:C83"/>
    <mergeCell ref="B84:C84"/>
    <mergeCell ref="B86:C86"/>
    <mergeCell ref="B87:C87"/>
    <mergeCell ref="V50:V51"/>
    <mergeCell ref="W50:W51"/>
    <mergeCell ref="X50:X51"/>
    <mergeCell ref="D50:D51"/>
    <mergeCell ref="E50:E51"/>
    <mergeCell ref="L50:L51"/>
    <mergeCell ref="B37:C37"/>
    <mergeCell ref="Y50:Y51"/>
    <mergeCell ref="Z50:Z51"/>
    <mergeCell ref="B50:B51"/>
    <mergeCell ref="C50:C51"/>
    <mergeCell ref="S50:S51"/>
    <mergeCell ref="U50:U51"/>
    <mergeCell ref="G50:G51"/>
    <mergeCell ref="T50:T51"/>
    <mergeCell ref="P50:P51"/>
    <mergeCell ref="Q50:Q51"/>
    <mergeCell ref="R50:R51"/>
    <mergeCell ref="M50:M51"/>
    <mergeCell ref="N50:N51"/>
    <mergeCell ref="O50:O51"/>
    <mergeCell ref="B48:C48"/>
    <mergeCell ref="F50:F51"/>
    <mergeCell ref="H50:H51"/>
    <mergeCell ref="I50:I51"/>
    <mergeCell ref="J50:J51"/>
    <mergeCell ref="K50:K51"/>
  </mergeCells>
  <phoneticPr fontId="3" type="noConversion"/>
  <conditionalFormatting sqref="E85:Q85">
    <cfRule type="cellIs" dxfId="7" priority="2" operator="greaterThanOrEqual">
      <formula>0</formula>
    </cfRule>
  </conditionalFormatting>
  <conditionalFormatting sqref="E88:AA88">
    <cfRule type="cellIs" dxfId="6" priority="1" operator="greaterThanOrEqual">
      <formula>0</formula>
    </cfRule>
  </conditionalFormatting>
  <pageMargins left="0.78740157499999996" right="0.78740157499999996" top="0.984251969" bottom="0.984251969" header="0.4921259845" footer="0.4921259845"/>
  <pageSetup paperSize="9" orientation="landscape" horizontalDpi="4294967292" verticalDpi="4294967292" r:id="rId1"/>
</worksheet>
</file>

<file path=xl/worksheets/sheet9.xml><?xml version="1.0" encoding="utf-8"?>
<worksheet xmlns="http://schemas.openxmlformats.org/spreadsheetml/2006/main" xmlns:r="http://schemas.openxmlformats.org/officeDocument/2006/relationships">
  <dimension ref="A2:BF370"/>
  <sheetViews>
    <sheetView topLeftCell="C57" zoomScale="88" zoomScaleNormal="88" workbookViewId="0">
      <selection activeCell="J90" sqref="J90"/>
    </sheetView>
  </sheetViews>
  <sheetFormatPr baseColWidth="10" defaultRowHeight="12.75"/>
  <cols>
    <col min="1" max="1" width="5.625" customWidth="1"/>
    <col min="2" max="2" width="45.5" customWidth="1"/>
    <col min="3" max="3" width="18.5" style="97" customWidth="1"/>
    <col min="4" max="4" width="12.5" style="97" customWidth="1"/>
    <col min="5" max="6" width="11" style="97"/>
    <col min="7" max="7" width="11.625" style="97" customWidth="1"/>
    <col min="8" max="8" width="18.125" style="290" customWidth="1"/>
    <col min="9" max="9" width="9" style="97" customWidth="1"/>
    <col min="10" max="10" width="9.5" style="97" customWidth="1"/>
    <col min="11" max="11" width="9.375" style="97" customWidth="1"/>
    <col min="12" max="12" width="9.625" style="97" customWidth="1"/>
    <col min="13" max="13" width="9.125" style="97" customWidth="1"/>
    <col min="14" max="14" width="9.5" style="97" customWidth="1"/>
    <col min="15" max="15" width="8.5" style="97" customWidth="1"/>
    <col min="16" max="17" width="8.875" style="97" customWidth="1"/>
    <col min="18" max="18" width="9" style="97" customWidth="1"/>
    <col min="19" max="19" width="9.5" style="97" customWidth="1"/>
    <col min="20" max="20" width="10" style="97" customWidth="1"/>
    <col min="21" max="21" width="9.125" style="97" customWidth="1"/>
    <col min="22" max="22" width="9.375" style="97" customWidth="1"/>
    <col min="23" max="23" width="11" style="97"/>
    <col min="24" max="25" width="9.625" style="97" customWidth="1"/>
    <col min="26" max="26" width="9.5" style="97" customWidth="1"/>
    <col min="27" max="27" width="9.625" style="97" customWidth="1"/>
  </cols>
  <sheetData>
    <row r="2" spans="2:27" ht="18" customHeight="1"/>
    <row r="3" spans="2:27" ht="14.45" customHeight="1" thickBot="1"/>
    <row r="4" spans="2:27" s="171" customFormat="1" ht="21.6" customHeight="1">
      <c r="B4" s="1435" t="str">
        <f>'7-Calcul de base AVEC   TVA'!B4</f>
        <v>Désignations</v>
      </c>
      <c r="C4" s="1436"/>
      <c r="D4" s="399"/>
      <c r="E4" s="1425" t="s">
        <v>314</v>
      </c>
      <c r="F4" s="1425"/>
      <c r="G4" s="1426"/>
      <c r="H4" s="413" t="str">
        <f>'7-Calcul de base AVEC   TVA'!H4</f>
        <v>Année mise en service</v>
      </c>
      <c r="I4" s="1433" t="s">
        <v>330</v>
      </c>
      <c r="J4" s="1433"/>
      <c r="K4" s="1433"/>
      <c r="L4" s="1433"/>
      <c r="M4" s="1433"/>
      <c r="N4" s="1433"/>
      <c r="O4" s="1433"/>
      <c r="P4" s="1433"/>
      <c r="Q4" s="1433"/>
      <c r="R4" s="1433" t="s">
        <v>330</v>
      </c>
      <c r="S4" s="1433"/>
      <c r="T4" s="1433"/>
      <c r="U4" s="1433"/>
      <c r="V4" s="1433"/>
      <c r="W4" s="1433"/>
      <c r="X4" s="1433"/>
      <c r="Y4" s="1433"/>
      <c r="Z4" s="1433"/>
      <c r="AA4" s="1434"/>
    </row>
    <row r="5" spans="2:27" ht="18.600000000000001" customHeight="1">
      <c r="B5" s="1437"/>
      <c r="C5" s="1438"/>
      <c r="D5" s="1464" t="s">
        <v>329</v>
      </c>
      <c r="E5" s="1466">
        <v>2020</v>
      </c>
      <c r="F5" s="1466">
        <v>2021</v>
      </c>
      <c r="G5" s="1468">
        <v>2022</v>
      </c>
      <c r="H5" s="1427">
        <f>'7-Calcul de base AVEC   TVA'!H5</f>
        <v>2023</v>
      </c>
      <c r="I5" s="1429">
        <f>+H5+1</f>
        <v>2024</v>
      </c>
      <c r="J5" s="1429">
        <f t="shared" ref="J5:Q5" si="0">+I5+1</f>
        <v>2025</v>
      </c>
      <c r="K5" s="1429">
        <f t="shared" si="0"/>
        <v>2026</v>
      </c>
      <c r="L5" s="1429">
        <f t="shared" si="0"/>
        <v>2027</v>
      </c>
      <c r="M5" s="1429">
        <f t="shared" si="0"/>
        <v>2028</v>
      </c>
      <c r="N5" s="1429">
        <f t="shared" si="0"/>
        <v>2029</v>
      </c>
      <c r="O5" s="1429">
        <f t="shared" si="0"/>
        <v>2030</v>
      </c>
      <c r="P5" s="1429">
        <f t="shared" si="0"/>
        <v>2031</v>
      </c>
      <c r="Q5" s="1429">
        <f t="shared" si="0"/>
        <v>2032</v>
      </c>
      <c r="R5" s="1429">
        <f t="shared" ref="R5:AA5" si="1">+Q5+1</f>
        <v>2033</v>
      </c>
      <c r="S5" s="1429">
        <f t="shared" si="1"/>
        <v>2034</v>
      </c>
      <c r="T5" s="1429">
        <f t="shared" si="1"/>
        <v>2035</v>
      </c>
      <c r="U5" s="1429">
        <f t="shared" si="1"/>
        <v>2036</v>
      </c>
      <c r="V5" s="1429">
        <f t="shared" si="1"/>
        <v>2037</v>
      </c>
      <c r="W5" s="1429">
        <f t="shared" si="1"/>
        <v>2038</v>
      </c>
      <c r="X5" s="1429">
        <f t="shared" si="1"/>
        <v>2039</v>
      </c>
      <c r="Y5" s="1429">
        <f t="shared" si="1"/>
        <v>2040</v>
      </c>
      <c r="Z5" s="1429">
        <f t="shared" si="1"/>
        <v>2041</v>
      </c>
      <c r="AA5" s="1431">
        <f t="shared" si="1"/>
        <v>2042</v>
      </c>
    </row>
    <row r="6" spans="2:27" ht="15.6" customHeight="1" thickBot="1">
      <c r="B6" s="1439"/>
      <c r="C6" s="1440"/>
      <c r="D6" s="1465"/>
      <c r="E6" s="1467"/>
      <c r="F6" s="1467"/>
      <c r="G6" s="1469"/>
      <c r="H6" s="1428"/>
      <c r="I6" s="1430"/>
      <c r="J6" s="1430"/>
      <c r="K6" s="1430"/>
      <c r="L6" s="1430"/>
      <c r="M6" s="1430"/>
      <c r="N6" s="1430"/>
      <c r="O6" s="1430"/>
      <c r="P6" s="1430"/>
      <c r="Q6" s="1430"/>
      <c r="R6" s="1430"/>
      <c r="S6" s="1430"/>
      <c r="T6" s="1430"/>
      <c r="U6" s="1430"/>
      <c r="V6" s="1430"/>
      <c r="W6" s="1430"/>
      <c r="X6" s="1430"/>
      <c r="Y6" s="1430"/>
      <c r="Z6" s="1430"/>
      <c r="AA6" s="1432"/>
    </row>
    <row r="7" spans="2:27" s="116" customFormat="1" ht="14.45" customHeight="1">
      <c r="B7" s="377" t="s">
        <v>146</v>
      </c>
      <c r="C7" s="426" t="str">
        <f>'7-Calcul de base AVEC   TVA'!C7</f>
        <v xml:space="preserve">Croissance % p.a. </v>
      </c>
      <c r="D7" s="288"/>
      <c r="E7" s="1415" t="s">
        <v>317</v>
      </c>
      <c r="F7" s="1416"/>
      <c r="G7" s="1417"/>
      <c r="H7" s="288"/>
      <c r="I7" s="288"/>
      <c r="J7" s="288"/>
      <c r="K7" s="288"/>
      <c r="L7" s="288"/>
      <c r="M7" s="288"/>
      <c r="N7" s="288"/>
      <c r="O7" s="288"/>
      <c r="P7" s="288"/>
      <c r="Q7" s="288"/>
      <c r="R7" s="288"/>
      <c r="S7" s="288"/>
      <c r="T7" s="288"/>
      <c r="U7" s="288"/>
      <c r="V7" s="288"/>
      <c r="W7" s="288"/>
      <c r="X7" s="288"/>
      <c r="Y7" s="288"/>
      <c r="Z7" s="288"/>
      <c r="AA7" s="434"/>
    </row>
    <row r="8" spans="2:27" s="116" customFormat="1" ht="15.6" customHeight="1">
      <c r="B8" s="243" t="s">
        <v>147</v>
      </c>
      <c r="C8" s="263">
        <f>+'3-DONNEES DE BASE'!H7</f>
        <v>5.0000000000000001E-3</v>
      </c>
      <c r="D8" s="326">
        <f>+'3-DONNEES DE BASE'!G7</f>
        <v>69550</v>
      </c>
      <c r="E8" s="226">
        <f>+D8*(1+C8)</f>
        <v>69897.749999999985</v>
      </c>
      <c r="F8" s="226">
        <f>+E8*(1+C8)</f>
        <v>70247.238749999975</v>
      </c>
      <c r="G8" s="226">
        <f>+F8*(1+C8)</f>
        <v>70598.47494374997</v>
      </c>
      <c r="H8" s="226">
        <f>'7-Calcul de base AVEC   TVA'!H8</f>
        <v>70951.467318468713</v>
      </c>
      <c r="I8" s="226">
        <f>'7-Calcul de base AVEC   TVA'!I8</f>
        <v>71306.224655061043</v>
      </c>
      <c r="J8" s="226">
        <f>'7-Calcul de base AVEC   TVA'!J8</f>
        <v>71662.755778336345</v>
      </c>
      <c r="K8" s="226">
        <f>'7-Calcul de base AVEC   TVA'!K8</f>
        <v>72021.069557228024</v>
      </c>
      <c r="L8" s="226">
        <f>'7-Calcul de base AVEC   TVA'!L8</f>
        <v>72381.174905014152</v>
      </c>
      <c r="M8" s="226">
        <f>'7-Calcul de base AVEC   TVA'!M8</f>
        <v>72743.080779539217</v>
      </c>
      <c r="N8" s="226">
        <f>'7-Calcul de base AVEC   TVA'!N8</f>
        <v>73106.796183436905</v>
      </c>
      <c r="O8" s="226">
        <f>'7-Calcul de base AVEC   TVA'!O8</f>
        <v>73472.330164354076</v>
      </c>
      <c r="P8" s="226">
        <f>'7-Calcul de base AVEC   TVA'!P8</f>
        <v>73839.691815175844</v>
      </c>
      <c r="Q8" s="226">
        <f>'7-Calcul de base AVEC   TVA'!Q8</f>
        <v>74208.890274251709</v>
      </c>
      <c r="R8" s="226">
        <f>'7-Calcul de base AVEC   TVA'!R8</f>
        <v>74579.934725622967</v>
      </c>
      <c r="S8" s="226">
        <f>'7-Calcul de base AVEC   TVA'!S8</f>
        <v>74952.834399251078</v>
      </c>
      <c r="T8" s="226">
        <f>'7-Calcul de base AVEC   TVA'!T8</f>
        <v>75327.598571247319</v>
      </c>
      <c r="U8" s="226">
        <f>'7-Calcul de base AVEC   TVA'!U8</f>
        <v>75704.236564103543</v>
      </c>
      <c r="V8" s="226">
        <f>'7-Calcul de base AVEC   TVA'!V8</f>
        <v>76082.75774692405</v>
      </c>
      <c r="W8" s="226">
        <f>'7-Calcul de base AVEC   TVA'!W8</f>
        <v>76463.171535658665</v>
      </c>
      <c r="X8" s="226">
        <f>'7-Calcul de base AVEC   TVA'!X8</f>
        <v>76845.487393336953</v>
      </c>
      <c r="Y8" s="226">
        <f>'7-Calcul de base AVEC   TVA'!Y8</f>
        <v>77229.714830303623</v>
      </c>
      <c r="Z8" s="226">
        <f>'7-Calcul de base AVEC   TVA'!Z8</f>
        <v>77615.863404455129</v>
      </c>
      <c r="AA8" s="435">
        <f>'7-Calcul de base AVEC   TVA'!AA8</f>
        <v>78003.94272147739</v>
      </c>
    </row>
    <row r="9" spans="2:27" s="116" customFormat="1" ht="15" customHeight="1">
      <c r="B9" s="243" t="s">
        <v>148</v>
      </c>
      <c r="C9" s="263">
        <f>+'3-DONNEES DE BASE'!H8</f>
        <v>4.0000000000000001E-3</v>
      </c>
      <c r="D9" s="326">
        <f>+'3-DONNEES DE BASE'!G8</f>
        <v>27910</v>
      </c>
      <c r="E9" s="226">
        <f t="shared" ref="E9:E10" si="2">+D9*(1+C9)</f>
        <v>28021.64</v>
      </c>
      <c r="F9" s="226">
        <f t="shared" ref="F9:F10" si="3">+E9*(1+C9)</f>
        <v>28133.726559999999</v>
      </c>
      <c r="G9" s="226">
        <f t="shared" ref="G9:G10" si="4">+F9*(1+C9)</f>
        <v>28246.261466240001</v>
      </c>
      <c r="H9" s="226">
        <f>'7-Calcul de base AVEC   TVA'!H9</f>
        <v>28359.246512104961</v>
      </c>
      <c r="I9" s="226">
        <f>'7-Calcul de base AVEC   TVA'!I9</f>
        <v>28472.683498153379</v>
      </c>
      <c r="J9" s="226">
        <f>'7-Calcul de base AVEC   TVA'!J9</f>
        <v>28586.574232145995</v>
      </c>
      <c r="K9" s="226">
        <f>'7-Calcul de base AVEC   TVA'!K9</f>
        <v>28700.920529074578</v>
      </c>
      <c r="L9" s="226">
        <f>'7-Calcul de base AVEC   TVA'!L9</f>
        <v>28815.724211190874</v>
      </c>
      <c r="M9" s="226">
        <f>'7-Calcul de base AVEC   TVA'!M9</f>
        <v>28930.987108035639</v>
      </c>
      <c r="N9" s="226">
        <f>'7-Calcul de base AVEC   TVA'!N9</f>
        <v>29046.711056467782</v>
      </c>
      <c r="O9" s="226">
        <f>'7-Calcul de base AVEC   TVA'!O9</f>
        <v>29162.897900693653</v>
      </c>
      <c r="P9" s="226">
        <f>'7-Calcul de base AVEC   TVA'!P9</f>
        <v>29279.549492296428</v>
      </c>
      <c r="Q9" s="226">
        <f>'7-Calcul de base AVEC   TVA'!Q9</f>
        <v>29396.667690265615</v>
      </c>
      <c r="R9" s="226">
        <f>'7-Calcul de base AVEC   TVA'!R9</f>
        <v>29514.254361026677</v>
      </c>
      <c r="S9" s="226">
        <f>'7-Calcul de base AVEC   TVA'!S9</f>
        <v>29632.311378470782</v>
      </c>
      <c r="T9" s="226">
        <f>'7-Calcul de base AVEC   TVA'!T9</f>
        <v>29750.840623984666</v>
      </c>
      <c r="U9" s="226">
        <f>'7-Calcul de base AVEC   TVA'!U9</f>
        <v>29869.843986480606</v>
      </c>
      <c r="V9" s="226">
        <f>'7-Calcul de base AVEC   TVA'!V9</f>
        <v>29989.323362426527</v>
      </c>
      <c r="W9" s="226">
        <f>'7-Calcul de base AVEC   TVA'!W9</f>
        <v>30109.280655876231</v>
      </c>
      <c r="X9" s="226">
        <f>'7-Calcul de base AVEC   TVA'!X9</f>
        <v>30229.717778499737</v>
      </c>
      <c r="Y9" s="226">
        <f>'7-Calcul de base AVEC   TVA'!Y9</f>
        <v>30350.636649613734</v>
      </c>
      <c r="Z9" s="226">
        <f>'7-Calcul de base AVEC   TVA'!Z9</f>
        <v>30472.03919621219</v>
      </c>
      <c r="AA9" s="435">
        <f>'7-Calcul de base AVEC   TVA'!AA9</f>
        <v>30593.927352997038</v>
      </c>
    </row>
    <row r="10" spans="2:27" s="116" customFormat="1" ht="15.95" customHeight="1">
      <c r="B10" s="243" t="s">
        <v>149</v>
      </c>
      <c r="C10" s="263">
        <f>+'3-DONNEES DE BASE'!H9</f>
        <v>3.0000000000000001E-3</v>
      </c>
      <c r="D10" s="326">
        <f>+'3-DONNEES DE BASE'!G9</f>
        <v>6540</v>
      </c>
      <c r="E10" s="226">
        <f t="shared" si="2"/>
        <v>6559.619999999999</v>
      </c>
      <c r="F10" s="226">
        <f t="shared" si="3"/>
        <v>6579.2988599999981</v>
      </c>
      <c r="G10" s="226">
        <f t="shared" si="4"/>
        <v>6599.036756579997</v>
      </c>
      <c r="H10" s="226">
        <f>'7-Calcul de base AVEC   TVA'!H10</f>
        <v>6618.8338668497363</v>
      </c>
      <c r="I10" s="226">
        <f>'7-Calcul de base AVEC   TVA'!I10</f>
        <v>6638.690368450285</v>
      </c>
      <c r="J10" s="226">
        <f>'7-Calcul de base AVEC   TVA'!J10</f>
        <v>6658.606439555635</v>
      </c>
      <c r="K10" s="226">
        <f>'7-Calcul de base AVEC   TVA'!K10</f>
        <v>6678.5822588743013</v>
      </c>
      <c r="L10" s="226">
        <f>'7-Calcul de base AVEC   TVA'!L10</f>
        <v>6698.6180056509238</v>
      </c>
      <c r="M10" s="226">
        <f>'7-Calcul de base AVEC   TVA'!M10</f>
        <v>6718.713859667876</v>
      </c>
      <c r="N10" s="226">
        <f>'7-Calcul de base AVEC   TVA'!N10</f>
        <v>6738.8700012468789</v>
      </c>
      <c r="O10" s="226">
        <f>'7-Calcul de base AVEC   TVA'!O10</f>
        <v>6759.0866112506192</v>
      </c>
      <c r="P10" s="226">
        <f>'7-Calcul de base AVEC   TVA'!P10</f>
        <v>6779.3638710843707</v>
      </c>
      <c r="Q10" s="226">
        <f>'7-Calcul de base AVEC   TVA'!Q10</f>
        <v>6799.7019626976235</v>
      </c>
      <c r="R10" s="226">
        <f>'7-Calcul de base AVEC   TVA'!R10</f>
        <v>6820.1010685857154</v>
      </c>
      <c r="S10" s="226">
        <f>'7-Calcul de base AVEC   TVA'!S10</f>
        <v>6840.5613717914721</v>
      </c>
      <c r="T10" s="226">
        <f>'7-Calcul de base AVEC   TVA'!T10</f>
        <v>6861.0830559068454</v>
      </c>
      <c r="U10" s="226">
        <f>'7-Calcul de base AVEC   TVA'!U10</f>
        <v>6881.6663050745656</v>
      </c>
      <c r="V10" s="226">
        <f>'7-Calcul de base AVEC   TVA'!V10</f>
        <v>6902.3113039897889</v>
      </c>
      <c r="W10" s="226">
        <f>'7-Calcul de base AVEC   TVA'!W10</f>
        <v>6923.0182379017579</v>
      </c>
      <c r="X10" s="226">
        <f>'7-Calcul de base AVEC   TVA'!X10</f>
        <v>6943.7872926154623</v>
      </c>
      <c r="Y10" s="226">
        <f>'7-Calcul de base AVEC   TVA'!Y10</f>
        <v>6964.618654493308</v>
      </c>
      <c r="Z10" s="226">
        <f>'7-Calcul de base AVEC   TVA'!Z10</f>
        <v>6985.5125104567869</v>
      </c>
      <c r="AA10" s="435">
        <f>'7-Calcul de base AVEC   TVA'!AA10</f>
        <v>7006.4690479881565</v>
      </c>
    </row>
    <row r="11" spans="2:27" s="171" customFormat="1" ht="15.6" customHeight="1" thickBot="1">
      <c r="B11" s="436" t="s">
        <v>150</v>
      </c>
      <c r="C11" s="437"/>
      <c r="D11" s="428">
        <f>+SUM(D8:D10)</f>
        <v>104000</v>
      </c>
      <c r="E11" s="180">
        <f t="shared" ref="E11:G11" si="5">+SUM(E8:E10)</f>
        <v>104479.00999999998</v>
      </c>
      <c r="F11" s="180">
        <f t="shared" si="5"/>
        <v>104960.26416999997</v>
      </c>
      <c r="G11" s="180">
        <f t="shared" si="5"/>
        <v>105443.77316656997</v>
      </c>
      <c r="H11" s="180">
        <f>'7-Calcul de base AVEC   TVA'!H11</f>
        <v>105929.5476974234</v>
      </c>
      <c r="I11" s="180">
        <f>'7-Calcul de base AVEC   TVA'!I11</f>
        <v>106417.59852166471</v>
      </c>
      <c r="J11" s="180">
        <f>'7-Calcul de base AVEC   TVA'!J11</f>
        <v>106907.93645003797</v>
      </c>
      <c r="K11" s="180">
        <f>'7-Calcul de base AVEC   TVA'!K11</f>
        <v>107400.5723451769</v>
      </c>
      <c r="L11" s="180">
        <f>'7-Calcul de base AVEC   TVA'!L11</f>
        <v>107895.51712185594</v>
      </c>
      <c r="M11" s="180">
        <f>'7-Calcul de base AVEC   TVA'!M11</f>
        <v>108392.78174724273</v>
      </c>
      <c r="N11" s="180">
        <f>'7-Calcul de base AVEC   TVA'!N11</f>
        <v>108892.37724115157</v>
      </c>
      <c r="O11" s="180">
        <f>'7-Calcul de base AVEC   TVA'!O11</f>
        <v>109394.31467629835</v>
      </c>
      <c r="P11" s="180">
        <f>'7-Calcul de base AVEC   TVA'!P11</f>
        <v>109898.60517855664</v>
      </c>
      <c r="Q11" s="180">
        <f>'7-Calcul de base AVEC   TVA'!Q11</f>
        <v>110405.25992721495</v>
      </c>
      <c r="R11" s="180">
        <f>'7-Calcul de base AVEC   TVA'!R11</f>
        <v>110914.29015523536</v>
      </c>
      <c r="S11" s="180">
        <f>'7-Calcul de base AVEC   TVA'!S11</f>
        <v>111425.70714951333</v>
      </c>
      <c r="T11" s="180">
        <f>'7-Calcul de base AVEC   TVA'!T11</f>
        <v>111939.52225113883</v>
      </c>
      <c r="U11" s="180">
        <f>'7-Calcul de base AVEC   TVA'!U11</f>
        <v>112455.74685565873</v>
      </c>
      <c r="V11" s="180">
        <f>'7-Calcul de base AVEC   TVA'!V11</f>
        <v>112974.39241334036</v>
      </c>
      <c r="W11" s="180">
        <f>'7-Calcul de base AVEC   TVA'!W11</f>
        <v>113495.47042943665</v>
      </c>
      <c r="X11" s="180">
        <f>'7-Calcul de base AVEC   TVA'!X11</f>
        <v>114018.99246445215</v>
      </c>
      <c r="Y11" s="180">
        <f>'7-Calcul de base AVEC   TVA'!Y11</f>
        <v>114544.97013441066</v>
      </c>
      <c r="Z11" s="180">
        <f>'7-Calcul de base AVEC   TVA'!Z11</f>
        <v>115073.41511112411</v>
      </c>
      <c r="AA11" s="222">
        <f>'7-Calcul de base AVEC   TVA'!AA11</f>
        <v>115604.33912246258</v>
      </c>
    </row>
    <row r="12" spans="2:27" s="116" customFormat="1" ht="13.5" customHeight="1">
      <c r="B12" s="438" t="s">
        <v>142</v>
      </c>
      <c r="C12" s="288"/>
      <c r="D12" s="288"/>
      <c r="E12" s="288"/>
      <c r="F12" s="288"/>
      <c r="G12" s="288"/>
      <c r="H12" s="288">
        <f>'7-Calcul de base AVEC   TVA'!H12</f>
        <v>0</v>
      </c>
      <c r="I12" s="288">
        <f>'7-Calcul de base AVEC   TVA'!I12</f>
        <v>0</v>
      </c>
      <c r="J12" s="288">
        <f>'7-Calcul de base AVEC   TVA'!J12</f>
        <v>0</v>
      </c>
      <c r="K12" s="288">
        <f>'7-Calcul de base AVEC   TVA'!K12</f>
        <v>0</v>
      </c>
      <c r="L12" s="288">
        <f>'7-Calcul de base AVEC   TVA'!L12</f>
        <v>0</v>
      </c>
      <c r="M12" s="288">
        <f>'7-Calcul de base AVEC   TVA'!M12</f>
        <v>0</v>
      </c>
      <c r="N12" s="288">
        <f>'7-Calcul de base AVEC   TVA'!N12</f>
        <v>0</v>
      </c>
      <c r="O12" s="288">
        <f>'7-Calcul de base AVEC   TVA'!O12</f>
        <v>0</v>
      </c>
      <c r="P12" s="288">
        <f>'7-Calcul de base AVEC   TVA'!P12</f>
        <v>0</v>
      </c>
      <c r="Q12" s="288">
        <f>'7-Calcul de base AVEC   TVA'!Q12</f>
        <v>0</v>
      </c>
      <c r="R12" s="288">
        <f>'7-Calcul de base AVEC   TVA'!R12</f>
        <v>0</v>
      </c>
      <c r="S12" s="288">
        <f>'7-Calcul de base AVEC   TVA'!S12</f>
        <v>0</v>
      </c>
      <c r="T12" s="288">
        <f>'7-Calcul de base AVEC   TVA'!T12</f>
        <v>0</v>
      </c>
      <c r="U12" s="288">
        <f>'7-Calcul de base AVEC   TVA'!U12</f>
        <v>0</v>
      </c>
      <c r="V12" s="288">
        <f>'7-Calcul de base AVEC   TVA'!V12</f>
        <v>0</v>
      </c>
      <c r="W12" s="288">
        <f>'7-Calcul de base AVEC   TVA'!W12</f>
        <v>0</v>
      </c>
      <c r="X12" s="288">
        <f>'7-Calcul de base AVEC   TVA'!X12</f>
        <v>0</v>
      </c>
      <c r="Y12" s="288">
        <f>'7-Calcul de base AVEC   TVA'!Y12</f>
        <v>0</v>
      </c>
      <c r="Z12" s="288">
        <f>'7-Calcul de base AVEC   TVA'!Z12</f>
        <v>0</v>
      </c>
      <c r="AA12" s="434">
        <f>'7-Calcul de base AVEC   TVA'!AA12</f>
        <v>0</v>
      </c>
    </row>
    <row r="13" spans="2:27" s="116" customFormat="1" ht="15" customHeight="1">
      <c r="B13" s="111" t="s">
        <v>143</v>
      </c>
      <c r="C13" s="326"/>
      <c r="D13" s="326">
        <f>+'3-DONNEES DE BASE'!K14</f>
        <v>12000</v>
      </c>
      <c r="E13" s="326"/>
      <c r="F13" s="326"/>
      <c r="G13" s="326"/>
      <c r="H13" s="326">
        <f>'7-Calcul de base AVEC   TVA'!H13</f>
        <v>0</v>
      </c>
      <c r="I13" s="326">
        <f>'7-Calcul de base AVEC   TVA'!I13</f>
        <v>0</v>
      </c>
      <c r="J13" s="326">
        <f>'7-Calcul de base AVEC   TVA'!J13</f>
        <v>0</v>
      </c>
      <c r="K13" s="326">
        <f>'7-Calcul de base AVEC   TVA'!K13</f>
        <v>0</v>
      </c>
      <c r="L13" s="326">
        <f>'7-Calcul de base AVEC   TVA'!L13</f>
        <v>0</v>
      </c>
      <c r="M13" s="326">
        <f>'7-Calcul de base AVEC   TVA'!M13</f>
        <v>0</v>
      </c>
      <c r="N13" s="326">
        <f>'7-Calcul de base AVEC   TVA'!N13</f>
        <v>0</v>
      </c>
      <c r="O13" s="326">
        <f>'7-Calcul de base AVEC   TVA'!O13</f>
        <v>0</v>
      </c>
      <c r="P13" s="326">
        <f>'7-Calcul de base AVEC   TVA'!P13</f>
        <v>0</v>
      </c>
      <c r="Q13" s="326">
        <f>'7-Calcul de base AVEC   TVA'!Q13</f>
        <v>0</v>
      </c>
      <c r="R13" s="326">
        <f>'7-Calcul de base AVEC   TVA'!R13</f>
        <v>0</v>
      </c>
      <c r="S13" s="326">
        <f>'7-Calcul de base AVEC   TVA'!S13</f>
        <v>0</v>
      </c>
      <c r="T13" s="326">
        <f>'7-Calcul de base AVEC   TVA'!T13</f>
        <v>0</v>
      </c>
      <c r="U13" s="326">
        <f>'7-Calcul de base AVEC   TVA'!U13</f>
        <v>0</v>
      </c>
      <c r="V13" s="326">
        <f>'7-Calcul de base AVEC   TVA'!V13</f>
        <v>0</v>
      </c>
      <c r="W13" s="326">
        <f>'7-Calcul de base AVEC   TVA'!W13</f>
        <v>0</v>
      </c>
      <c r="X13" s="326">
        <f>'7-Calcul de base AVEC   TVA'!X13</f>
        <v>0</v>
      </c>
      <c r="Y13" s="326">
        <f>'7-Calcul de base AVEC   TVA'!Y13</f>
        <v>0</v>
      </c>
      <c r="Z13" s="326">
        <f>'7-Calcul de base AVEC   TVA'!Z13</f>
        <v>0</v>
      </c>
      <c r="AA13" s="253">
        <f>'7-Calcul de base AVEC   TVA'!AA13</f>
        <v>0</v>
      </c>
    </row>
    <row r="14" spans="2:27" s="116" customFormat="1" ht="14.45" customHeight="1" thickBot="1">
      <c r="B14" s="439" t="s">
        <v>30</v>
      </c>
      <c r="C14" s="440"/>
      <c r="D14" s="440">
        <f>+'3-DONNEES DE BASE'!G15</f>
        <v>15</v>
      </c>
      <c r="E14" s="440"/>
      <c r="F14" s="440"/>
      <c r="G14" s="440"/>
      <c r="H14" s="440">
        <f>'7-Calcul de base AVEC   TVA'!H14</f>
        <v>0</v>
      </c>
      <c r="I14" s="440">
        <f>'7-Calcul de base AVEC   TVA'!I14</f>
        <v>0</v>
      </c>
      <c r="J14" s="440">
        <f>'7-Calcul de base AVEC   TVA'!J14</f>
        <v>0</v>
      </c>
      <c r="K14" s="440">
        <f>'7-Calcul de base AVEC   TVA'!K14</f>
        <v>0</v>
      </c>
      <c r="L14" s="440">
        <f>'7-Calcul de base AVEC   TVA'!L14</f>
        <v>0</v>
      </c>
      <c r="M14" s="440">
        <f>'7-Calcul de base AVEC   TVA'!M14</f>
        <v>0</v>
      </c>
      <c r="N14" s="440">
        <f>'7-Calcul de base AVEC   TVA'!N14</f>
        <v>0</v>
      </c>
      <c r="O14" s="440">
        <f>'7-Calcul de base AVEC   TVA'!O14</f>
        <v>0</v>
      </c>
      <c r="P14" s="440">
        <f>'7-Calcul de base AVEC   TVA'!P14</f>
        <v>0</v>
      </c>
      <c r="Q14" s="440">
        <f>'7-Calcul de base AVEC   TVA'!Q14</f>
        <v>0</v>
      </c>
      <c r="R14" s="440">
        <f>'7-Calcul de base AVEC   TVA'!R14</f>
        <v>0</v>
      </c>
      <c r="S14" s="440">
        <f>'7-Calcul de base AVEC   TVA'!S14</f>
        <v>0</v>
      </c>
      <c r="T14" s="440">
        <f>'7-Calcul de base AVEC   TVA'!T14</f>
        <v>0</v>
      </c>
      <c r="U14" s="440">
        <f>'7-Calcul de base AVEC   TVA'!U14</f>
        <v>0</v>
      </c>
      <c r="V14" s="440">
        <f>'7-Calcul de base AVEC   TVA'!V14</f>
        <v>0</v>
      </c>
      <c r="W14" s="440">
        <f>'7-Calcul de base AVEC   TVA'!W14</f>
        <v>0</v>
      </c>
      <c r="X14" s="440">
        <f>'7-Calcul de base AVEC   TVA'!X14</f>
        <v>0</v>
      </c>
      <c r="Y14" s="440">
        <f>'7-Calcul de base AVEC   TVA'!Y14</f>
        <v>0</v>
      </c>
      <c r="Z14" s="440">
        <f>'7-Calcul de base AVEC   TVA'!Z14</f>
        <v>0</v>
      </c>
      <c r="AA14" s="441">
        <f>'7-Calcul de base AVEC   TVA'!AA14</f>
        <v>0</v>
      </c>
    </row>
    <row r="15" spans="2:27" s="116" customFormat="1" ht="18.600000000000001" customHeight="1">
      <c r="B15" s="446" t="s">
        <v>230</v>
      </c>
      <c r="C15" s="288"/>
      <c r="D15" s="288"/>
      <c r="E15" s="1447" t="s">
        <v>80</v>
      </c>
      <c r="F15" s="1448"/>
      <c r="G15" s="1449"/>
      <c r="H15" s="288">
        <f>'7-Calcul de base AVEC   TVA'!H15</f>
        <v>0</v>
      </c>
      <c r="I15" s="288">
        <f>'7-Calcul de base AVEC   TVA'!I15</f>
        <v>0</v>
      </c>
      <c r="J15" s="288">
        <f>'7-Calcul de base AVEC   TVA'!J15</f>
        <v>0</v>
      </c>
      <c r="K15" s="288">
        <f>'7-Calcul de base AVEC   TVA'!K15</f>
        <v>0</v>
      </c>
      <c r="L15" s="288">
        <f>'7-Calcul de base AVEC   TVA'!L15</f>
        <v>0</v>
      </c>
      <c r="M15" s="288">
        <f>'7-Calcul de base AVEC   TVA'!M15</f>
        <v>0</v>
      </c>
      <c r="N15" s="288">
        <f>'7-Calcul de base AVEC   TVA'!N15</f>
        <v>0</v>
      </c>
      <c r="O15" s="288">
        <f>'7-Calcul de base AVEC   TVA'!O15</f>
        <v>0</v>
      </c>
      <c r="P15" s="288">
        <f>'7-Calcul de base AVEC   TVA'!P15</f>
        <v>0</v>
      </c>
      <c r="Q15" s="288">
        <f>'7-Calcul de base AVEC   TVA'!Q15</f>
        <v>0</v>
      </c>
      <c r="R15" s="288">
        <f>'7-Calcul de base AVEC   TVA'!R15</f>
        <v>0</v>
      </c>
      <c r="S15" s="288">
        <f>'7-Calcul de base AVEC   TVA'!S15</f>
        <v>0</v>
      </c>
      <c r="T15" s="288">
        <f>'7-Calcul de base AVEC   TVA'!T15</f>
        <v>0</v>
      </c>
      <c r="U15" s="288">
        <f>'7-Calcul de base AVEC   TVA'!U15</f>
        <v>0</v>
      </c>
      <c r="V15" s="288">
        <f>'7-Calcul de base AVEC   TVA'!V15</f>
        <v>0</v>
      </c>
      <c r="W15" s="288">
        <f>'7-Calcul de base AVEC   TVA'!W15</f>
        <v>0</v>
      </c>
      <c r="X15" s="288">
        <f>'7-Calcul de base AVEC   TVA'!X15</f>
        <v>0</v>
      </c>
      <c r="Y15" s="288">
        <f>'7-Calcul de base AVEC   TVA'!Y15</f>
        <v>0</v>
      </c>
      <c r="Z15" s="288">
        <f>'7-Calcul de base AVEC   TVA'!Z15</f>
        <v>0</v>
      </c>
      <c r="AA15" s="434">
        <f>'7-Calcul de base AVEC   TVA'!AA15</f>
        <v>0</v>
      </c>
    </row>
    <row r="16" spans="2:27" s="116" customFormat="1" ht="17.100000000000001" customHeight="1">
      <c r="B16" s="111" t="str">
        <f>'7-Calcul de base AVEC   TVA'!B16</f>
        <v>Estimation du prix du terrain</v>
      </c>
      <c r="C16" s="195"/>
      <c r="D16" s="226">
        <f>+'9-Cout  projet avec et sans TVA'!H9</f>
        <v>180000</v>
      </c>
      <c r="E16" s="226">
        <f>+'9-Cout  projet avec et sans TVA'!K9</f>
        <v>180000</v>
      </c>
      <c r="F16" s="326">
        <f>+'9-Cout  projet avec et sans TVA'!N9</f>
        <v>0</v>
      </c>
      <c r="G16" s="226">
        <f>+'9-Cout  projet avec et sans TVA'!Q10</f>
        <v>0</v>
      </c>
      <c r="H16" s="326"/>
      <c r="I16" s="326"/>
      <c r="J16" s="326"/>
      <c r="K16" s="326"/>
      <c r="L16" s="326"/>
      <c r="M16" s="326"/>
      <c r="N16" s="326"/>
      <c r="O16" s="326"/>
      <c r="P16" s="326"/>
      <c r="Q16" s="326"/>
      <c r="R16" s="326"/>
      <c r="S16" s="326"/>
      <c r="T16" s="326"/>
      <c r="U16" s="326"/>
      <c r="V16" s="326"/>
      <c r="W16" s="326"/>
      <c r="X16" s="326"/>
      <c r="Y16" s="326"/>
      <c r="Z16" s="326"/>
      <c r="AA16" s="253"/>
    </row>
    <row r="17" spans="2:27" s="116" customFormat="1" ht="20.45" customHeight="1">
      <c r="B17" s="442" t="s">
        <v>34</v>
      </c>
      <c r="C17" s="326"/>
      <c r="D17" s="226">
        <f>+'9-Cout  projet avec et sans TVA'!H10</f>
        <v>15126.050420168069</v>
      </c>
      <c r="E17" s="226">
        <f>+'9-Cout  projet avec et sans TVA'!K10</f>
        <v>15126.050420168069</v>
      </c>
      <c r="F17" s="226">
        <f>+'9-Cout  projet avec et sans TVA'!N10</f>
        <v>0</v>
      </c>
      <c r="G17" s="226">
        <f>+'9-Cout  projet avec et sans TVA'!Q10</f>
        <v>0</v>
      </c>
      <c r="H17" s="326"/>
      <c r="I17" s="326"/>
      <c r="J17" s="326"/>
      <c r="K17" s="326"/>
      <c r="L17" s="326"/>
      <c r="M17" s="326"/>
      <c r="N17" s="326"/>
      <c r="O17" s="326"/>
      <c r="P17" s="326"/>
      <c r="Q17" s="326"/>
      <c r="R17" s="326"/>
      <c r="S17" s="326"/>
      <c r="T17" s="326"/>
      <c r="U17" s="326"/>
      <c r="V17" s="326"/>
      <c r="W17" s="326"/>
      <c r="X17" s="326"/>
      <c r="Y17" s="326"/>
      <c r="Z17" s="326"/>
      <c r="AA17" s="253"/>
    </row>
    <row r="18" spans="2:27" s="116" customFormat="1" ht="18.600000000000001" customHeight="1">
      <c r="B18" s="442" t="s">
        <v>45</v>
      </c>
      <c r="C18" s="326"/>
      <c r="D18" s="226">
        <f>+'9-Cout  projet avec et sans TVA'!H11</f>
        <v>672268.90756302525</v>
      </c>
      <c r="E18" s="226">
        <f>+'9-Cout  projet avec et sans TVA'!K11</f>
        <v>0</v>
      </c>
      <c r="F18" s="226">
        <f>+'9-Cout  projet avec et sans TVA'!N11</f>
        <v>537815.12605042022</v>
      </c>
      <c r="G18" s="226">
        <f>+'9-Cout  projet avec et sans TVA'!Q11</f>
        <v>134453.78151260506</v>
      </c>
      <c r="H18" s="226"/>
      <c r="I18" s="326"/>
      <c r="J18" s="326"/>
      <c r="K18" s="326"/>
      <c r="L18" s="326"/>
      <c r="M18" s="326"/>
      <c r="N18" s="326"/>
      <c r="O18" s="326"/>
      <c r="P18" s="326"/>
      <c r="Q18" s="326"/>
      <c r="R18" s="326"/>
      <c r="S18" s="326"/>
      <c r="T18" s="326"/>
      <c r="U18" s="326"/>
      <c r="V18" s="326"/>
      <c r="W18" s="326"/>
      <c r="X18" s="326"/>
      <c r="Y18" s="326"/>
      <c r="Z18" s="326"/>
      <c r="AA18" s="253"/>
    </row>
    <row r="19" spans="2:27" s="116" customFormat="1" ht="17.45" customHeight="1">
      <c r="B19" s="442" t="s">
        <v>43</v>
      </c>
      <c r="C19" s="326"/>
      <c r="D19" s="226">
        <f>+'9-Cout  projet avec et sans TVA'!H12</f>
        <v>52436.97478991597</v>
      </c>
      <c r="E19" s="226">
        <f>+'9-Cout  projet avec et sans TVA'!K12</f>
        <v>0</v>
      </c>
      <c r="F19" s="226">
        <f>+'9-Cout  projet avec et sans TVA'!N12</f>
        <v>41949.579831932773</v>
      </c>
      <c r="G19" s="226">
        <f>+'9-Cout  projet avec et sans TVA'!Q12</f>
        <v>10487.394957983193</v>
      </c>
      <c r="H19" s="226"/>
      <c r="I19" s="326"/>
      <c r="J19" s="326"/>
      <c r="K19" s="326"/>
      <c r="L19" s="326"/>
      <c r="M19" s="326"/>
      <c r="N19" s="326"/>
      <c r="O19" s="326"/>
      <c r="P19" s="326"/>
      <c r="Q19" s="226"/>
      <c r="R19" s="326"/>
      <c r="S19" s="326"/>
      <c r="T19" s="326"/>
      <c r="U19" s="326"/>
      <c r="V19" s="326"/>
      <c r="W19" s="326"/>
      <c r="X19" s="326"/>
      <c r="Y19" s="326"/>
      <c r="Z19" s="326"/>
      <c r="AA19" s="253"/>
    </row>
    <row r="20" spans="2:27" s="116" customFormat="1" ht="15.95" customHeight="1">
      <c r="B20" s="442" t="s">
        <v>44</v>
      </c>
      <c r="C20" s="326"/>
      <c r="D20" s="226">
        <f>+'9-Cout  projet avec et sans TVA'!H13</f>
        <v>35630.252100840335</v>
      </c>
      <c r="E20" s="226">
        <f>+'9-Cout  projet avec et sans TVA'!K13</f>
        <v>0</v>
      </c>
      <c r="F20" s="226">
        <f>+'9-Cout  projet avec et sans TVA'!N13</f>
        <v>14252.100840336136</v>
      </c>
      <c r="G20" s="226">
        <f>+'9-Cout  projet avec et sans TVA'!Q13</f>
        <v>21378.151260504204</v>
      </c>
      <c r="H20" s="326"/>
      <c r="I20" s="326"/>
      <c r="J20" s="326"/>
      <c r="K20" s="326"/>
      <c r="L20" s="226"/>
      <c r="M20" s="326"/>
      <c r="N20" s="326"/>
      <c r="O20" s="326"/>
      <c r="P20" s="326"/>
      <c r="Q20" s="226"/>
      <c r="R20" s="326"/>
      <c r="S20" s="326"/>
      <c r="T20" s="326"/>
      <c r="U20" s="326"/>
      <c r="V20" s="226"/>
      <c r="W20" s="326"/>
      <c r="X20" s="326"/>
      <c r="Y20" s="326"/>
      <c r="Z20" s="326"/>
      <c r="AA20" s="253"/>
    </row>
    <row r="21" spans="2:27" s="116" customFormat="1" ht="29.1" customHeight="1">
      <c r="B21" s="423" t="s">
        <v>73</v>
      </c>
      <c r="C21" s="326"/>
      <c r="D21" s="226">
        <f>+'9-Cout  projet avec et sans TVA'!H14</f>
        <v>75987.185840707971</v>
      </c>
      <c r="E21" s="226">
        <f>+'9-Cout  projet avec et sans TVA'!K14</f>
        <v>75987.185840707971</v>
      </c>
      <c r="F21" s="226">
        <f>+'9-Cout  projet avec et sans TVA'!N14</f>
        <v>0</v>
      </c>
      <c r="G21" s="226">
        <f>+'9-Cout  projet avec et sans TVA'!Q14</f>
        <v>0</v>
      </c>
      <c r="H21" s="326"/>
      <c r="I21" s="326"/>
      <c r="J21" s="326"/>
      <c r="K21" s="326"/>
      <c r="L21" s="326"/>
      <c r="M21" s="326"/>
      <c r="N21" s="326"/>
      <c r="O21" s="326"/>
      <c r="P21" s="326"/>
      <c r="Q21" s="326"/>
      <c r="R21" s="326"/>
      <c r="S21" s="326"/>
      <c r="T21" s="326"/>
      <c r="U21" s="326"/>
      <c r="V21" s="326"/>
      <c r="W21" s="326"/>
      <c r="X21" s="326"/>
      <c r="Y21" s="326"/>
      <c r="Z21" s="326"/>
      <c r="AA21" s="253"/>
    </row>
    <row r="22" spans="2:27" s="116" customFormat="1" ht="19.5" customHeight="1">
      <c r="B22" s="111" t="s">
        <v>74</v>
      </c>
      <c r="C22" s="264"/>
      <c r="D22" s="226">
        <f>+'9-Cout  projet avec et sans TVA'!H15</f>
        <v>39451.281769911511</v>
      </c>
      <c r="E22" s="226">
        <f>+'9-Cout  projet avec et sans TVA'!K15</f>
        <v>11835.384530973452</v>
      </c>
      <c r="F22" s="226">
        <f>+'9-Cout  projet avec et sans TVA'!N15</f>
        <v>23670.769061946903</v>
      </c>
      <c r="G22" s="226">
        <f>+'9-Cout  projet avec et sans TVA'!Q15</f>
        <v>3945.1281769911511</v>
      </c>
      <c r="H22" s="226"/>
      <c r="I22" s="326"/>
      <c r="J22" s="326"/>
      <c r="K22" s="326"/>
      <c r="L22" s="326"/>
      <c r="M22" s="326"/>
      <c r="N22" s="326"/>
      <c r="O22" s="326"/>
      <c r="P22" s="326"/>
      <c r="Q22" s="326"/>
      <c r="R22" s="326"/>
      <c r="S22" s="326"/>
      <c r="T22" s="326"/>
      <c r="U22" s="326"/>
      <c r="V22" s="326"/>
      <c r="W22" s="326"/>
      <c r="X22" s="326"/>
      <c r="Y22" s="326"/>
      <c r="Z22" s="326"/>
      <c r="AA22" s="253"/>
    </row>
    <row r="23" spans="2:27" s="116" customFormat="1" ht="15.95" customHeight="1">
      <c r="B23" s="443" t="s">
        <v>331</v>
      </c>
      <c r="C23" s="427"/>
      <c r="D23" s="229">
        <f>+SUM(D16:D22)</f>
        <v>1070900.652484569</v>
      </c>
      <c r="E23" s="229">
        <f>+SUM(E16:E22)</f>
        <v>282948.62079184951</v>
      </c>
      <c r="F23" s="229">
        <f>+SUM(F16:F22)</f>
        <v>617687.57578463608</v>
      </c>
      <c r="G23" s="229">
        <f>+SUM(G16:G22)</f>
        <v>170264.45590808362</v>
      </c>
      <c r="H23" s="229"/>
      <c r="I23" s="229"/>
      <c r="J23" s="229"/>
      <c r="K23" s="229"/>
      <c r="L23" s="229"/>
      <c r="M23" s="229"/>
      <c r="N23" s="229"/>
      <c r="O23" s="229"/>
      <c r="P23" s="229"/>
      <c r="Q23" s="229"/>
      <c r="R23" s="229"/>
      <c r="S23" s="229"/>
      <c r="T23" s="229"/>
      <c r="U23" s="229"/>
      <c r="V23" s="229"/>
      <c r="W23" s="229"/>
      <c r="X23" s="229"/>
      <c r="Y23" s="229"/>
      <c r="Z23" s="229"/>
      <c r="AA23" s="447"/>
    </row>
    <row r="24" spans="2:27" s="116" customFormat="1" ht="14.45" customHeight="1">
      <c r="B24" s="225" t="s">
        <v>217</v>
      </c>
      <c r="C24" s="326"/>
      <c r="D24" s="226">
        <f>+E24+F24+G24</f>
        <v>64907.563025210096</v>
      </c>
      <c r="E24" s="226">
        <f>+'9-Cout  projet avec et sans TVA'!J48</f>
        <v>0</v>
      </c>
      <c r="F24" s="226">
        <f>+'9-Cout  projet avec et sans TVA'!K48</f>
        <v>51213.445378151271</v>
      </c>
      <c r="G24" s="118">
        <f>+'9-Cout  projet avec et sans TVA'!L48</f>
        <v>13694.117647058825</v>
      </c>
      <c r="H24" s="226"/>
      <c r="I24" s="226"/>
      <c r="J24" s="226"/>
      <c r="K24" s="226"/>
      <c r="L24" s="226"/>
      <c r="M24" s="226"/>
      <c r="N24" s="226"/>
      <c r="O24" s="226"/>
      <c r="P24" s="226"/>
      <c r="Q24" s="226"/>
      <c r="R24" s="226"/>
      <c r="S24" s="226"/>
      <c r="T24" s="226"/>
      <c r="U24" s="226"/>
      <c r="V24" s="226"/>
      <c r="W24" s="226"/>
      <c r="X24" s="226"/>
      <c r="Y24" s="226"/>
      <c r="Z24" s="226"/>
      <c r="AA24" s="435"/>
    </row>
    <row r="25" spans="2:27" s="116" customFormat="1" ht="15" customHeight="1">
      <c r="B25" s="225" t="s">
        <v>218</v>
      </c>
      <c r="C25" s="326"/>
      <c r="D25" s="226">
        <f>+E25+F25+G25</f>
        <v>202651.48292438919</v>
      </c>
      <c r="E25" s="226">
        <f>+(E24+E23)*('9-Cout  projet avec et sans TVA'!F19-1)</f>
        <v>34958.585047453787</v>
      </c>
      <c r="F25" s="226">
        <f>+(F24+F23)*('9-Cout  projet avec et sans TVA'!G19-1)</f>
        <v>122475.24386079237</v>
      </c>
      <c r="G25" s="226">
        <f>+(G24+G23)*('9-Cout  projet avec et sans TVA'!H19-1)</f>
        <v>45217.654016143038</v>
      </c>
      <c r="H25" s="226"/>
      <c r="I25" s="326"/>
      <c r="J25" s="326"/>
      <c r="K25" s="326"/>
      <c r="L25" s="226"/>
      <c r="M25" s="326"/>
      <c r="N25" s="326"/>
      <c r="O25" s="326"/>
      <c r="P25" s="326"/>
      <c r="Q25" s="328"/>
      <c r="R25" s="326"/>
      <c r="S25" s="326"/>
      <c r="T25" s="326"/>
      <c r="U25" s="326"/>
      <c r="V25" s="226"/>
      <c r="W25" s="326"/>
      <c r="X25" s="326"/>
      <c r="Y25" s="326"/>
      <c r="Z25" s="326"/>
      <c r="AA25" s="253"/>
    </row>
    <row r="26" spans="2:27" s="116" customFormat="1" ht="40.5" customHeight="1">
      <c r="B26" s="448" t="s">
        <v>216</v>
      </c>
      <c r="C26" s="330"/>
      <c r="D26" s="229">
        <f>+SUM(D23:D25)</f>
        <v>1338459.6984341682</v>
      </c>
      <c r="E26" s="229">
        <f>+SUM(E23:E25)</f>
        <v>317907.20583930332</v>
      </c>
      <c r="F26" s="229">
        <f>+SUM(F23:F25)</f>
        <v>791376.2650235797</v>
      </c>
      <c r="G26" s="229">
        <f>+SUM(G23:G25)</f>
        <v>229176.22757128548</v>
      </c>
      <c r="H26" s="229"/>
      <c r="I26" s="229"/>
      <c r="J26" s="229"/>
      <c r="K26" s="229"/>
      <c r="L26" s="229"/>
      <c r="M26" s="229"/>
      <c r="N26" s="229"/>
      <c r="O26" s="229"/>
      <c r="P26" s="229"/>
      <c r="Q26" s="229"/>
      <c r="R26" s="229"/>
      <c r="S26" s="229"/>
      <c r="T26" s="229"/>
      <c r="U26" s="229"/>
      <c r="V26" s="229"/>
      <c r="W26" s="229"/>
      <c r="X26" s="229"/>
      <c r="Y26" s="229"/>
      <c r="Z26" s="229"/>
      <c r="AA26" s="447"/>
    </row>
    <row r="27" spans="2:27" s="116" customFormat="1" ht="44.45" customHeight="1">
      <c r="B27" s="444" t="s">
        <v>212</v>
      </c>
      <c r="C27" s="326"/>
      <c r="D27" s="229">
        <f>+SUM(E27:AA27)</f>
        <v>70470.909303422857</v>
      </c>
      <c r="E27" s="229">
        <v>0</v>
      </c>
      <c r="F27" s="229">
        <v>0</v>
      </c>
      <c r="G27" s="427">
        <v>0</v>
      </c>
      <c r="H27" s="427">
        <v>0</v>
      </c>
      <c r="I27" s="427">
        <v>0</v>
      </c>
      <c r="J27" s="427">
        <v>0</v>
      </c>
      <c r="K27" s="427">
        <v>0</v>
      </c>
      <c r="L27" s="427">
        <v>0</v>
      </c>
      <c r="M27" s="427">
        <v>0</v>
      </c>
      <c r="N27" s="427">
        <v>0</v>
      </c>
      <c r="O27" s="229">
        <v>0</v>
      </c>
      <c r="P27" s="427">
        <v>0</v>
      </c>
      <c r="Q27" s="229">
        <f>((+'3-DONNEES DE BASE'!G20*'3-DONNEES DE BASE'!E21)/(1+'3-DONNEES DE BASE'!E35))*(1+'3-DONNEES DE BASE'!E33)^10</f>
        <v>70470.909303422857</v>
      </c>
      <c r="R27" s="427">
        <v>0</v>
      </c>
      <c r="S27" s="427">
        <v>0</v>
      </c>
      <c r="T27" s="427">
        <v>0</v>
      </c>
      <c r="U27" s="427">
        <v>0</v>
      </c>
      <c r="V27" s="427">
        <v>0</v>
      </c>
      <c r="W27" s="427">
        <v>0</v>
      </c>
      <c r="X27" s="427">
        <v>0</v>
      </c>
      <c r="Y27" s="427">
        <v>0</v>
      </c>
      <c r="Z27" s="427">
        <v>0</v>
      </c>
      <c r="AA27" s="429"/>
    </row>
    <row r="28" spans="2:27" s="116" customFormat="1" ht="44.45" customHeight="1">
      <c r="B28" s="444" t="s">
        <v>332</v>
      </c>
      <c r="C28" s="326"/>
      <c r="D28" s="229">
        <f>+SUM(E28:AA28)</f>
        <v>144700.07873813709</v>
      </c>
      <c r="E28" s="229">
        <v>0</v>
      </c>
      <c r="F28" s="229">
        <v>0</v>
      </c>
      <c r="G28" s="427">
        <v>0</v>
      </c>
      <c r="H28" s="427">
        <v>0</v>
      </c>
      <c r="I28" s="229">
        <v>0</v>
      </c>
      <c r="J28" s="427">
        <v>0</v>
      </c>
      <c r="K28" s="427">
        <v>0</v>
      </c>
      <c r="L28" s="229">
        <f>+(('3-DONNEES DE BASE'!G20*'3-DONNEES DE BASE'!E22)/(1+'3-DONNEES DE BASE'!E35))*(1+'3-DONNEES DE BASE'!E33)^5</f>
        <v>41305.227521277302</v>
      </c>
      <c r="M28" s="427">
        <v>0</v>
      </c>
      <c r="N28" s="427">
        <v>0</v>
      </c>
      <c r="O28" s="427">
        <v>0</v>
      </c>
      <c r="P28" s="427">
        <v>0</v>
      </c>
      <c r="Q28" s="229">
        <f>((+'3-DONNEES DE BASE'!G20*'3-DONNEES DE BASE'!E22)/(1+'3-DONNEES DE BASE'!E35))*(1+'3-DONNEES DE BASE'!E33)^10</f>
        <v>47884.079398479633</v>
      </c>
      <c r="R28" s="427"/>
      <c r="S28" s="427"/>
      <c r="T28" s="427"/>
      <c r="U28" s="427"/>
      <c r="V28" s="229">
        <f>+(('3-DONNEES DE BASE'!G20*'3-DONNEES DE BASE'!E22)/(1+'3-DONNEES DE BASE'!E35))*(1+'3-DONNEES DE BASE'!E33)^15</f>
        <v>55510.771818380177</v>
      </c>
      <c r="W28" s="427"/>
      <c r="X28" s="427"/>
      <c r="Y28" s="427"/>
      <c r="Z28" s="427"/>
      <c r="AA28" s="429"/>
    </row>
    <row r="29" spans="2:27" s="116" customFormat="1" ht="34.5" customHeight="1" thickBot="1">
      <c r="B29" s="445" t="s">
        <v>211</v>
      </c>
      <c r="C29" s="440"/>
      <c r="D29" s="180">
        <f>+D28+D27+D26</f>
        <v>1553630.6864757282</v>
      </c>
      <c r="E29" s="180">
        <f t="shared" ref="E29:AA29" si="6">+E28+E27+E26</f>
        <v>317907.20583930332</v>
      </c>
      <c r="F29" s="180">
        <f t="shared" si="6"/>
        <v>791376.2650235797</v>
      </c>
      <c r="G29" s="180">
        <f t="shared" si="6"/>
        <v>229176.22757128548</v>
      </c>
      <c r="H29" s="180">
        <f t="shared" si="6"/>
        <v>0</v>
      </c>
      <c r="I29" s="180">
        <f t="shared" si="6"/>
        <v>0</v>
      </c>
      <c r="J29" s="180">
        <f t="shared" si="6"/>
        <v>0</v>
      </c>
      <c r="K29" s="180">
        <f t="shared" si="6"/>
        <v>0</v>
      </c>
      <c r="L29" s="180">
        <f t="shared" si="6"/>
        <v>41305.227521277302</v>
      </c>
      <c r="M29" s="180">
        <f t="shared" si="6"/>
        <v>0</v>
      </c>
      <c r="N29" s="180">
        <f t="shared" si="6"/>
        <v>0</v>
      </c>
      <c r="O29" s="180">
        <f t="shared" si="6"/>
        <v>0</v>
      </c>
      <c r="P29" s="180">
        <f t="shared" si="6"/>
        <v>0</v>
      </c>
      <c r="Q29" s="180">
        <f t="shared" si="6"/>
        <v>118354.98870190249</v>
      </c>
      <c r="R29" s="180">
        <f t="shared" si="6"/>
        <v>0</v>
      </c>
      <c r="S29" s="180">
        <f t="shared" si="6"/>
        <v>0</v>
      </c>
      <c r="T29" s="180">
        <f t="shared" si="6"/>
        <v>0</v>
      </c>
      <c r="U29" s="180">
        <f t="shared" si="6"/>
        <v>0</v>
      </c>
      <c r="V29" s="180">
        <f t="shared" si="6"/>
        <v>55510.771818380177</v>
      </c>
      <c r="W29" s="180">
        <f t="shared" si="6"/>
        <v>0</v>
      </c>
      <c r="X29" s="180">
        <f t="shared" si="6"/>
        <v>0</v>
      </c>
      <c r="Y29" s="180">
        <f t="shared" si="6"/>
        <v>0</v>
      </c>
      <c r="Z29" s="180">
        <f t="shared" si="6"/>
        <v>0</v>
      </c>
      <c r="AA29" s="222">
        <f t="shared" si="6"/>
        <v>0</v>
      </c>
    </row>
    <row r="30" spans="2:27" s="116" customFormat="1" ht="17.45" customHeight="1">
      <c r="B30" s="246"/>
      <c r="C30" s="449" t="s">
        <v>130</v>
      </c>
      <c r="D30" s="449" t="s">
        <v>144</v>
      </c>
      <c r="E30" s="244"/>
      <c r="F30" s="244"/>
      <c r="G30" s="244"/>
      <c r="H30" s="244"/>
      <c r="I30" s="244"/>
      <c r="J30" s="244"/>
      <c r="K30" s="244"/>
      <c r="L30" s="244"/>
      <c r="M30" s="244"/>
      <c r="N30" s="244"/>
      <c r="O30" s="244"/>
      <c r="P30" s="244"/>
      <c r="Q30" s="244"/>
      <c r="R30" s="244"/>
      <c r="S30" s="244"/>
      <c r="T30" s="244"/>
      <c r="U30" s="244"/>
      <c r="V30" s="244"/>
      <c r="W30" s="244"/>
      <c r="X30" s="244"/>
      <c r="Y30" s="244"/>
      <c r="Z30" s="244"/>
      <c r="AA30" s="245"/>
    </row>
    <row r="31" spans="2:27" ht="14.45" customHeight="1">
      <c r="B31" s="363" t="s">
        <v>129</v>
      </c>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223"/>
    </row>
    <row r="32" spans="2:27" s="116" customFormat="1" ht="14.1" customHeight="1">
      <c r="B32" s="241" t="s">
        <v>27</v>
      </c>
      <c r="C32" s="190">
        <f>+'3-DONNEES DE BASE'!E69</f>
        <v>0.2</v>
      </c>
      <c r="D32" s="226"/>
      <c r="E32" s="226"/>
      <c r="F32" s="226"/>
      <c r="G32" s="226"/>
      <c r="H32" s="297">
        <f>+'3-DONNEES DE BASE'!G68</f>
        <v>100</v>
      </c>
      <c r="I32" s="49">
        <f>IF('7-Calcul de base AVEC   TVA'!H32+'7-Calcul de base AVEC   TVA'!H32*'3-DONNEES DE BASE'!$E$69&lt;'3-DONNEES DE BASE'!$G$70,('7-Calcul de base AVEC   TVA'!H32+'7-Calcul de base AVEC   TVA'!H32*'3-DONNEES DE BASE'!$E$69),'3-DONNEES DE BASE'!$G$70)</f>
        <v>120</v>
      </c>
      <c r="J32" s="49">
        <f>IF('7-Calcul de base AVEC   TVA'!I32+'7-Calcul de base AVEC   TVA'!I32*'3-DONNEES DE BASE'!$E$69&lt;'3-DONNEES DE BASE'!$G$70,('7-Calcul de base AVEC   TVA'!I32+'7-Calcul de base AVEC   TVA'!I32*'3-DONNEES DE BASE'!$E$69),'3-DONNEES DE BASE'!$G$70)</f>
        <v>144</v>
      </c>
      <c r="K32" s="49">
        <f>IF('7-Calcul de base AVEC   TVA'!J32+'7-Calcul de base AVEC   TVA'!J32*'3-DONNEES DE BASE'!$E$69&lt;'3-DONNEES DE BASE'!$G$70,('7-Calcul de base AVEC   TVA'!J32+'7-Calcul de base AVEC   TVA'!J32*'3-DONNEES DE BASE'!$E$69),'3-DONNEES DE BASE'!$G$70)</f>
        <v>172.8</v>
      </c>
      <c r="L32" s="49">
        <f>IF('7-Calcul de base AVEC   TVA'!K32+'7-Calcul de base AVEC   TVA'!K32*'3-DONNEES DE BASE'!$E$69&lt;'3-DONNEES DE BASE'!$G$70,('7-Calcul de base AVEC   TVA'!K32+'7-Calcul de base AVEC   TVA'!K32*'3-DONNEES DE BASE'!$E$69),'3-DONNEES DE BASE'!$G$70)</f>
        <v>200</v>
      </c>
      <c r="M32" s="49">
        <f>IF('7-Calcul de base AVEC   TVA'!L32+'7-Calcul de base AVEC   TVA'!L32*'3-DONNEES DE BASE'!$E$69&lt;'3-DONNEES DE BASE'!$G$70,('7-Calcul de base AVEC   TVA'!L32+'7-Calcul de base AVEC   TVA'!L32*'3-DONNEES DE BASE'!$E$69),'3-DONNEES DE BASE'!$G$70)</f>
        <v>200</v>
      </c>
      <c r="N32" s="49">
        <f>IF('7-Calcul de base AVEC   TVA'!M32+'7-Calcul de base AVEC   TVA'!M32*'3-DONNEES DE BASE'!$E$69&lt;'3-DONNEES DE BASE'!$G$70,('7-Calcul de base AVEC   TVA'!M32+'7-Calcul de base AVEC   TVA'!M32*'3-DONNEES DE BASE'!$E$69),'3-DONNEES DE BASE'!$G$70)</f>
        <v>200</v>
      </c>
      <c r="O32" s="49">
        <f>IF('7-Calcul de base AVEC   TVA'!N32+'7-Calcul de base AVEC   TVA'!N32*'3-DONNEES DE BASE'!$E$69&lt;'3-DONNEES DE BASE'!$G$70,('7-Calcul de base AVEC   TVA'!N32+'7-Calcul de base AVEC   TVA'!N32*'3-DONNEES DE BASE'!$E$69),'3-DONNEES DE BASE'!$G$70)</f>
        <v>200</v>
      </c>
      <c r="P32" s="49">
        <f>IF('7-Calcul de base AVEC   TVA'!O32+'7-Calcul de base AVEC   TVA'!O32*'3-DONNEES DE BASE'!$E$69&lt;'3-DONNEES DE BASE'!$G$70,('7-Calcul de base AVEC   TVA'!O32+'7-Calcul de base AVEC   TVA'!O32*'3-DONNEES DE BASE'!$E$69),'3-DONNEES DE BASE'!$G$70)</f>
        <v>200</v>
      </c>
      <c r="Q32" s="849">
        <f>IF('7-Calcul de base AVEC   TVA'!P32+'7-Calcul de base AVEC   TVA'!P32*'3-DONNEES DE BASE'!$E$69&lt;'3-DONNEES DE BASE'!$G$70,('7-Calcul de base AVEC   TVA'!P32+'7-Calcul de base AVEC   TVA'!P32*'3-DONNEES DE BASE'!$E$69),'3-DONNEES DE BASE'!$G$70)</f>
        <v>200</v>
      </c>
      <c r="R32" s="49">
        <f>IF('7-Calcul de base AVEC   TVA'!Q32+'7-Calcul de base AVEC   TVA'!Q32*'3-DONNEES DE BASE'!$E$69&lt;'3-DONNEES DE BASE'!$G$70,('7-Calcul de base AVEC   TVA'!Q32+'7-Calcul de base AVEC   TVA'!Q32*'3-DONNEES DE BASE'!$E$69),'3-DONNEES DE BASE'!$G$70)</f>
        <v>200</v>
      </c>
      <c r="S32" s="49">
        <f>IF('7-Calcul de base AVEC   TVA'!R32+'7-Calcul de base AVEC   TVA'!R32*'3-DONNEES DE BASE'!$E$69&lt;'3-DONNEES DE BASE'!$G$70,('7-Calcul de base AVEC   TVA'!R32+'7-Calcul de base AVEC   TVA'!R32*'3-DONNEES DE BASE'!$E$69),'3-DONNEES DE BASE'!$G$70)</f>
        <v>200</v>
      </c>
      <c r="T32" s="49">
        <f>IF('7-Calcul de base AVEC   TVA'!S32+'7-Calcul de base AVEC   TVA'!S32*'3-DONNEES DE BASE'!$E$69&lt;'3-DONNEES DE BASE'!$G$70,('7-Calcul de base AVEC   TVA'!S32+'7-Calcul de base AVEC   TVA'!S32*'3-DONNEES DE BASE'!$E$69),'3-DONNEES DE BASE'!$G$70)</f>
        <v>200</v>
      </c>
      <c r="U32" s="49">
        <f>IF('7-Calcul de base AVEC   TVA'!T32+'7-Calcul de base AVEC   TVA'!T32*'3-DONNEES DE BASE'!$E$69&lt;'3-DONNEES DE BASE'!$G$70,('7-Calcul de base AVEC   TVA'!T32+'7-Calcul de base AVEC   TVA'!T32*'3-DONNEES DE BASE'!$E$69),'3-DONNEES DE BASE'!$G$70)</f>
        <v>200</v>
      </c>
      <c r="V32" s="49">
        <f>IF('7-Calcul de base AVEC   TVA'!U32+'7-Calcul de base AVEC   TVA'!U32*'3-DONNEES DE BASE'!$E$69&lt;'3-DONNEES DE BASE'!$G$70,('7-Calcul de base AVEC   TVA'!U32+'7-Calcul de base AVEC   TVA'!U32*'3-DONNEES DE BASE'!$E$69),'3-DONNEES DE BASE'!$G$70)</f>
        <v>200</v>
      </c>
      <c r="W32" s="49">
        <f>IF('7-Calcul de base AVEC   TVA'!V32+'7-Calcul de base AVEC   TVA'!V32*'3-DONNEES DE BASE'!$E$69&lt;'3-DONNEES DE BASE'!$G$70,('7-Calcul de base AVEC   TVA'!V32+'7-Calcul de base AVEC   TVA'!V32*'3-DONNEES DE BASE'!$E$69),'3-DONNEES DE BASE'!$G$70)</f>
        <v>200</v>
      </c>
      <c r="X32" s="49">
        <f>IF('7-Calcul de base AVEC   TVA'!W32+'7-Calcul de base AVEC   TVA'!W32*'3-DONNEES DE BASE'!$E$69&lt;'3-DONNEES DE BASE'!$G$70,('7-Calcul de base AVEC   TVA'!W32+'7-Calcul de base AVEC   TVA'!W32*'3-DONNEES DE BASE'!$E$69),'3-DONNEES DE BASE'!$G$70)</f>
        <v>200</v>
      </c>
      <c r="Y32" s="49">
        <f>IF('7-Calcul de base AVEC   TVA'!X32+'7-Calcul de base AVEC   TVA'!X32*'3-DONNEES DE BASE'!$E$69&lt;'3-DONNEES DE BASE'!$G$70,('7-Calcul de base AVEC   TVA'!X32+'7-Calcul de base AVEC   TVA'!X32*'3-DONNEES DE BASE'!$E$69),'3-DONNEES DE BASE'!$G$70)</f>
        <v>200</v>
      </c>
      <c r="Z32" s="49">
        <f>IF('7-Calcul de base AVEC   TVA'!Y32+'7-Calcul de base AVEC   TVA'!Y32*'3-DONNEES DE BASE'!$E$69&lt;'3-DONNEES DE BASE'!$G$70,('7-Calcul de base AVEC   TVA'!Y32+'7-Calcul de base AVEC   TVA'!Y32*'3-DONNEES DE BASE'!$E$69),'3-DONNEES DE BASE'!$G$70)</f>
        <v>200</v>
      </c>
      <c r="AA32" s="186">
        <f>IF('7-Calcul de base AVEC   TVA'!Z32+'7-Calcul de base AVEC   TVA'!Z32*'3-DONNEES DE BASE'!$E$69&lt;'3-DONNEES DE BASE'!$G$70,('7-Calcul de base AVEC   TVA'!Z32+'7-Calcul de base AVEC   TVA'!Z32*'3-DONNEES DE BASE'!$E$69),'3-DONNEES DE BASE'!$G$70)</f>
        <v>200</v>
      </c>
    </row>
    <row r="33" spans="1:58" s="116" customFormat="1" ht="17.45" customHeight="1">
      <c r="B33" s="241" t="s">
        <v>55</v>
      </c>
      <c r="C33" s="242"/>
      <c r="D33" s="323">
        <f>+'3-DONNEES DE BASE'!G71</f>
        <v>1.2</v>
      </c>
      <c r="E33" s="226"/>
      <c r="F33" s="226"/>
      <c r="G33" s="226"/>
      <c r="H33" s="229">
        <f>+H32*D33</f>
        <v>120</v>
      </c>
      <c r="I33" s="229">
        <f>+I32*D33</f>
        <v>144</v>
      </c>
      <c r="J33" s="229">
        <f>+J32*D33</f>
        <v>172.79999999999998</v>
      </c>
      <c r="K33" s="229">
        <f>+K32*D33</f>
        <v>207.36</v>
      </c>
      <c r="L33" s="229">
        <f>+L32*D33</f>
        <v>240</v>
      </c>
      <c r="M33" s="229">
        <f>+M32*D33</f>
        <v>240</v>
      </c>
      <c r="N33" s="229">
        <f>+N32*D33</f>
        <v>240</v>
      </c>
      <c r="O33" s="229">
        <f>+O32*D33</f>
        <v>240</v>
      </c>
      <c r="P33" s="229">
        <f>+P32*D33</f>
        <v>240</v>
      </c>
      <c r="Q33" s="229">
        <f>+Q32*D33</f>
        <v>240</v>
      </c>
      <c r="R33" s="229">
        <f>+R32*D33</f>
        <v>240</v>
      </c>
      <c r="S33" s="229">
        <f>+S32*D33</f>
        <v>240</v>
      </c>
      <c r="T33" s="229">
        <f>+T32*D33</f>
        <v>240</v>
      </c>
      <c r="U33" s="229">
        <f>+U32*D33</f>
        <v>240</v>
      </c>
      <c r="V33" s="229">
        <f>+V32*D33</f>
        <v>240</v>
      </c>
      <c r="W33" s="229">
        <f>+W32*D33</f>
        <v>240</v>
      </c>
      <c r="X33" s="229">
        <f>+X32*D33</f>
        <v>240</v>
      </c>
      <c r="Y33" s="229">
        <f>+Y32*D33</f>
        <v>240</v>
      </c>
      <c r="Z33" s="229">
        <f>+Z32*D33</f>
        <v>240</v>
      </c>
      <c r="AA33" s="447">
        <f>+AA32*D33</f>
        <v>240</v>
      </c>
    </row>
    <row r="34" spans="1:58" s="116" customFormat="1" ht="17.100000000000001" customHeight="1">
      <c r="B34" s="225" t="s">
        <v>97</v>
      </c>
      <c r="C34" s="190">
        <f>+'3-DONNEES DE BASE'!E73</f>
        <v>0.05</v>
      </c>
      <c r="D34" s="226"/>
      <c r="E34" s="226"/>
      <c r="F34" s="226"/>
      <c r="G34" s="226"/>
      <c r="H34" s="285">
        <f>+'3-DONNEES DE BASE'!$H72</f>
        <v>130</v>
      </c>
      <c r="I34" s="285">
        <f>+'3-DONNEES DE BASE'!$H72*(1+'3-DONNEES DE BASE'!$E73)^1</f>
        <v>136.5</v>
      </c>
      <c r="J34" s="285">
        <f>+'3-DONNEES DE BASE'!$H72*(1+'3-DONNEES DE BASE'!$E73)^2</f>
        <v>143.32500000000002</v>
      </c>
      <c r="K34" s="285">
        <f>+'3-DONNEES DE BASE'!$H72*(1+'3-DONNEES DE BASE'!$E73)^3</f>
        <v>150.49125000000001</v>
      </c>
      <c r="L34" s="285">
        <f>+'3-DONNEES DE BASE'!$H72*(1+'3-DONNEES DE BASE'!$E73)^4</f>
        <v>158.01581250000001</v>
      </c>
      <c r="M34" s="285">
        <f>+'3-DONNEES DE BASE'!$H72*(1+'3-DONNEES DE BASE'!$E73)^5</f>
        <v>165.91660312500002</v>
      </c>
      <c r="N34" s="285">
        <f>+'3-DONNEES DE BASE'!$H72*(1+'3-DONNEES DE BASE'!$E73)^6</f>
        <v>174.21243328124999</v>
      </c>
      <c r="O34" s="285">
        <f>+'3-DONNEES DE BASE'!$H72*(1+'3-DONNEES DE BASE'!$E73)^7</f>
        <v>182.92305494531254</v>
      </c>
      <c r="P34" s="285">
        <f>+'3-DONNEES DE BASE'!$H72*(1+'3-DONNEES DE BASE'!$E73)^8</f>
        <v>192.06920769257815</v>
      </c>
      <c r="Q34" s="285">
        <f>+'3-DONNEES DE BASE'!$H72*(1+'3-DONNEES DE BASE'!$E73)^9</f>
        <v>201.67266807720705</v>
      </c>
      <c r="R34" s="285">
        <f>+'3-DONNEES DE BASE'!$H72*(1+'3-DONNEES DE BASE'!$E73)^10</f>
        <v>211.7563014810674</v>
      </c>
      <c r="S34" s="285">
        <f>+'3-DONNEES DE BASE'!$H72*(1+'3-DONNEES DE BASE'!$E73)^11</f>
        <v>222.34411655512079</v>
      </c>
      <c r="T34" s="285">
        <f>+'3-DONNEES DE BASE'!$H72*(1+'3-DONNEES DE BASE'!$E73)^12</f>
        <v>233.4613223828768</v>
      </c>
      <c r="U34" s="285">
        <f>+'3-DONNEES DE BASE'!$H72*(1+'3-DONNEES DE BASE'!$E73)^13</f>
        <v>245.13438850202067</v>
      </c>
      <c r="V34" s="285">
        <f>+'3-DONNEES DE BASE'!$H72*(1+'3-DONNEES DE BASE'!$E73)^14</f>
        <v>257.39110792712165</v>
      </c>
      <c r="W34" s="285">
        <f>+'3-DONNEES DE BASE'!$H72*(1+'3-DONNEES DE BASE'!$E73)^15</f>
        <v>270.26066332347784</v>
      </c>
      <c r="X34" s="285">
        <f>+'3-DONNEES DE BASE'!$H72*(1+'3-DONNEES DE BASE'!$E73)^16</f>
        <v>283.77369648965168</v>
      </c>
      <c r="Y34" s="285">
        <f>+'3-DONNEES DE BASE'!$H72*(1+'3-DONNEES DE BASE'!$E73)^17</f>
        <v>297.96238131413429</v>
      </c>
      <c r="Z34" s="285">
        <f>+'3-DONNEES DE BASE'!$H72*(1+'3-DONNEES DE BASE'!$E73)^18</f>
        <v>312.86050037984103</v>
      </c>
      <c r="AA34" s="450">
        <f>+'3-DONNEES DE BASE'!$H72*(1+'3-DONNEES DE BASE'!$E73)^19</f>
        <v>328.50352539883306</v>
      </c>
    </row>
    <row r="35" spans="1:58" s="116" customFormat="1" ht="11.1" customHeight="1">
      <c r="B35" s="247" t="s">
        <v>151</v>
      </c>
      <c r="C35" s="226"/>
      <c r="D35" s="226"/>
      <c r="E35" s="226"/>
      <c r="F35" s="226"/>
      <c r="G35" s="226"/>
      <c r="H35" s="229">
        <f>+H34*H32</f>
        <v>13000</v>
      </c>
      <c r="I35" s="285">
        <f t="shared" ref="I35:AA35" si="7">+I34*I32</f>
        <v>16380</v>
      </c>
      <c r="J35" s="285">
        <f t="shared" si="7"/>
        <v>20638.800000000003</v>
      </c>
      <c r="K35" s="285">
        <f t="shared" si="7"/>
        <v>26004.888000000003</v>
      </c>
      <c r="L35" s="285">
        <f t="shared" si="7"/>
        <v>31603.162500000002</v>
      </c>
      <c r="M35" s="285">
        <f t="shared" si="7"/>
        <v>33183.320625000008</v>
      </c>
      <c r="N35" s="285">
        <f t="shared" si="7"/>
        <v>34842.486656249996</v>
      </c>
      <c r="O35" s="285">
        <f t="shared" si="7"/>
        <v>36584.610989062508</v>
      </c>
      <c r="P35" s="285">
        <f t="shared" si="7"/>
        <v>38413.841538515626</v>
      </c>
      <c r="Q35" s="285">
        <f t="shared" si="7"/>
        <v>40334.533615441411</v>
      </c>
      <c r="R35" s="285">
        <f t="shared" si="7"/>
        <v>42351.260296213477</v>
      </c>
      <c r="S35" s="285">
        <f t="shared" si="7"/>
        <v>44468.823311024156</v>
      </c>
      <c r="T35" s="285">
        <f t="shared" si="7"/>
        <v>46692.264476575358</v>
      </c>
      <c r="U35" s="285">
        <f t="shared" si="7"/>
        <v>49026.877700404133</v>
      </c>
      <c r="V35" s="285">
        <f t="shared" si="7"/>
        <v>51478.221585424333</v>
      </c>
      <c r="W35" s="285">
        <f t="shared" si="7"/>
        <v>54052.132664695571</v>
      </c>
      <c r="X35" s="285">
        <f t="shared" si="7"/>
        <v>56754.73929793034</v>
      </c>
      <c r="Y35" s="285">
        <f t="shared" si="7"/>
        <v>59592.476262826858</v>
      </c>
      <c r="Z35" s="285">
        <f t="shared" si="7"/>
        <v>62572.100075968207</v>
      </c>
      <c r="AA35" s="450">
        <f t="shared" si="7"/>
        <v>65700.705079766616</v>
      </c>
    </row>
    <row r="36" spans="1:58" s="116" customFormat="1" ht="18.600000000000001" customHeight="1">
      <c r="B36" s="380" t="s">
        <v>219</v>
      </c>
      <c r="C36" s="81"/>
      <c r="D36" s="81"/>
      <c r="E36" s="81"/>
      <c r="F36" s="81"/>
      <c r="G36" s="81"/>
      <c r="H36" s="296">
        <f>+H35*12</f>
        <v>156000</v>
      </c>
      <c r="I36" s="381">
        <f t="shared" ref="I36:AA36" si="8">+I35*12</f>
        <v>196560</v>
      </c>
      <c r="J36" s="381">
        <f>+J35*12</f>
        <v>247665.60000000003</v>
      </c>
      <c r="K36" s="381">
        <f t="shared" si="8"/>
        <v>312058.65600000002</v>
      </c>
      <c r="L36" s="381">
        <f t="shared" si="8"/>
        <v>379237.95</v>
      </c>
      <c r="M36" s="381">
        <f t="shared" si="8"/>
        <v>398199.84750000009</v>
      </c>
      <c r="N36" s="381">
        <f t="shared" si="8"/>
        <v>418109.83987499995</v>
      </c>
      <c r="O36" s="381">
        <f t="shared" si="8"/>
        <v>439015.3318687501</v>
      </c>
      <c r="P36" s="381">
        <f t="shared" si="8"/>
        <v>460966.09846218751</v>
      </c>
      <c r="Q36" s="381">
        <f t="shared" si="8"/>
        <v>484014.40338529693</v>
      </c>
      <c r="R36" s="381">
        <f t="shared" si="8"/>
        <v>508215.12355456175</v>
      </c>
      <c r="S36" s="381">
        <f t="shared" si="8"/>
        <v>533625.87973228982</v>
      </c>
      <c r="T36" s="381">
        <f t="shared" si="8"/>
        <v>560307.17371890426</v>
      </c>
      <c r="U36" s="381">
        <f t="shared" si="8"/>
        <v>588322.53240484954</v>
      </c>
      <c r="V36" s="381">
        <f t="shared" si="8"/>
        <v>617738.65902509203</v>
      </c>
      <c r="W36" s="381">
        <f t="shared" si="8"/>
        <v>648625.59197634691</v>
      </c>
      <c r="X36" s="381">
        <f t="shared" si="8"/>
        <v>681056.87157516414</v>
      </c>
      <c r="Y36" s="381">
        <f t="shared" si="8"/>
        <v>715109.71515392233</v>
      </c>
      <c r="Z36" s="381">
        <f t="shared" si="8"/>
        <v>750865.20091161854</v>
      </c>
      <c r="AA36" s="451">
        <f t="shared" si="8"/>
        <v>788408.46095719934</v>
      </c>
    </row>
    <row r="37" spans="1:58" s="116" customFormat="1" ht="16.5" customHeight="1" thickBot="1">
      <c r="B37" s="1360" t="s">
        <v>10</v>
      </c>
      <c r="C37" s="1361"/>
      <c r="D37" s="248"/>
      <c r="E37" s="248"/>
      <c r="F37" s="248"/>
      <c r="G37" s="248"/>
      <c r="H37" s="248"/>
      <c r="I37" s="180">
        <f>+I33-H33</f>
        <v>24</v>
      </c>
      <c r="J37" s="180">
        <f>'7-Calcul de base AVEC   TVA'!J37</f>
        <v>28.799999999999983</v>
      </c>
      <c r="K37" s="180">
        <f>'7-Calcul de base AVEC   TVA'!K37</f>
        <v>34.560000000000031</v>
      </c>
      <c r="L37" s="180">
        <f>'7-Calcul de base AVEC   TVA'!L37</f>
        <v>32.639999999999986</v>
      </c>
      <c r="M37" s="180">
        <f>'7-Calcul de base AVEC   TVA'!M37</f>
        <v>0</v>
      </c>
      <c r="N37" s="180">
        <f>'7-Calcul de base AVEC   TVA'!N37</f>
        <v>0</v>
      </c>
      <c r="O37" s="180">
        <f>'7-Calcul de base AVEC   TVA'!O37</f>
        <v>0</v>
      </c>
      <c r="P37" s="180">
        <f>'7-Calcul de base AVEC   TVA'!P37</f>
        <v>0</v>
      </c>
      <c r="Q37" s="180">
        <f>'7-Calcul de base AVEC   TVA'!Q37</f>
        <v>0</v>
      </c>
      <c r="R37" s="180">
        <f>'7-Calcul de base AVEC   TVA'!R37</f>
        <v>0</v>
      </c>
      <c r="S37" s="180">
        <f>'7-Calcul de base AVEC   TVA'!S37</f>
        <v>0</v>
      </c>
      <c r="T37" s="180">
        <f>'7-Calcul de base AVEC   TVA'!T37</f>
        <v>0</v>
      </c>
      <c r="U37" s="180">
        <f>'7-Calcul de base AVEC   TVA'!U37</f>
        <v>0</v>
      </c>
      <c r="V37" s="180">
        <f>'7-Calcul de base AVEC   TVA'!V37</f>
        <v>0</v>
      </c>
      <c r="W37" s="180">
        <f>'7-Calcul de base AVEC   TVA'!W37</f>
        <v>0</v>
      </c>
      <c r="X37" s="180">
        <f>'7-Calcul de base AVEC   TVA'!X37</f>
        <v>0</v>
      </c>
      <c r="Y37" s="180">
        <f>'7-Calcul de base AVEC   TVA'!Y37</f>
        <v>0</v>
      </c>
      <c r="Z37" s="180">
        <f>'7-Calcul de base AVEC   TVA'!Z37</f>
        <v>0</v>
      </c>
      <c r="AA37" s="222">
        <f>'7-Calcul de base AVEC   TVA'!AA37</f>
        <v>0</v>
      </c>
    </row>
    <row r="38" spans="1:58" ht="18.600000000000001" customHeight="1" thickBot="1">
      <c r="B38" s="178"/>
      <c r="C38" s="181"/>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row>
    <row r="39" spans="1:58" s="281" customFormat="1" ht="17.45" customHeight="1">
      <c r="B39" s="365" t="s">
        <v>324</v>
      </c>
      <c r="C39" s="282"/>
      <c r="D39" s="282"/>
      <c r="E39" s="282"/>
      <c r="F39" s="282"/>
      <c r="G39" s="282"/>
      <c r="H39" s="288"/>
      <c r="I39" s="282"/>
      <c r="J39" s="282"/>
      <c r="K39" s="282"/>
      <c r="L39" s="282"/>
      <c r="M39" s="282"/>
      <c r="N39" s="282"/>
      <c r="O39" s="282"/>
      <c r="P39" s="282"/>
      <c r="Q39" s="282"/>
      <c r="R39" s="282"/>
      <c r="S39" s="282"/>
      <c r="T39" s="282"/>
      <c r="U39" s="282"/>
      <c r="V39" s="282"/>
      <c r="W39" s="282"/>
      <c r="X39" s="282"/>
      <c r="Y39" s="282"/>
      <c r="Z39" s="282"/>
      <c r="AA39" s="452"/>
    </row>
    <row r="40" spans="1:58" s="116" customFormat="1" ht="29.1" customHeight="1">
      <c r="B40" s="423" t="s">
        <v>195</v>
      </c>
      <c r="C40" s="324">
        <f>'7-Calcul de base AVEC   TVA'!C39</f>
        <v>0.05</v>
      </c>
      <c r="D40" s="326"/>
      <c r="E40" s="326"/>
      <c r="F40" s="326"/>
      <c r="G40" s="326"/>
      <c r="H40" s="226">
        <f>+('3-DONNEES DE BASE'!E78+'3-DONNEES DE BASE'!E79+'3-DONNEES DE BASE'!E80)*('8-Calcul de base SANS TVA'!E26+'8-Calcul de base SANS TVA'!F26+'8-Calcul de base SANS TVA'!G26)</f>
        <v>12046.13728590752</v>
      </c>
      <c r="I40" s="226">
        <f>+H$40*(1+'3-DONNEES DE BASE'!$E$84)</f>
        <v>12648.444150202897</v>
      </c>
      <c r="J40" s="226">
        <f>+I$40*(1+'3-DONNEES DE BASE'!$E$84)</f>
        <v>13280.866357713043</v>
      </c>
      <c r="K40" s="226">
        <f>+J$40*(1+'3-DONNEES DE BASE'!$E$84)</f>
        <v>13944.909675598696</v>
      </c>
      <c r="L40" s="226">
        <f>+K$40*(1+'3-DONNEES DE BASE'!$E$84)</f>
        <v>14642.155159378632</v>
      </c>
      <c r="M40" s="226">
        <f>+L$40*(1+'3-DONNEES DE BASE'!$E$84)</f>
        <v>15374.262917347563</v>
      </c>
      <c r="N40" s="226">
        <f>+M$40*(1+'3-DONNEES DE BASE'!$E$84)</f>
        <v>16142.976063214943</v>
      </c>
      <c r="O40" s="226">
        <f>+N$40*(1+'3-DONNEES DE BASE'!$E$84)</f>
        <v>16950.124866375692</v>
      </c>
      <c r="P40" s="226">
        <f>+O$40*(1+'3-DONNEES DE BASE'!$E$84)</f>
        <v>17797.631109694477</v>
      </c>
      <c r="Q40" s="226">
        <f>+P$40*(1+'3-DONNEES DE BASE'!$E$84)</f>
        <v>18687.512665179202</v>
      </c>
      <c r="R40" s="226">
        <f>+Q$40*(1+'3-DONNEES DE BASE'!$E$84)</f>
        <v>19621.888298438163</v>
      </c>
      <c r="S40" s="226">
        <f>+R$40*(1+'3-DONNEES DE BASE'!$E$84)</f>
        <v>20602.982713360074</v>
      </c>
      <c r="T40" s="226">
        <f>+S$40*(1+'3-DONNEES DE BASE'!$E$84)</f>
        <v>21633.131849028079</v>
      </c>
      <c r="U40" s="226">
        <f>+T$40*(1+'3-DONNEES DE BASE'!$E$84)</f>
        <v>22714.788441479483</v>
      </c>
      <c r="V40" s="226">
        <f>+U$40*(1+'3-DONNEES DE BASE'!$E$84)</f>
        <v>23850.527863553456</v>
      </c>
      <c r="W40" s="226">
        <f>+V$40*(1+'3-DONNEES DE BASE'!$E$84)</f>
        <v>25043.054256731131</v>
      </c>
      <c r="X40" s="226">
        <f>+W$40*(1+'3-DONNEES DE BASE'!$E$84)</f>
        <v>26295.206969567687</v>
      </c>
      <c r="Y40" s="226">
        <f>+X$40*(1+'3-DONNEES DE BASE'!$E$84)</f>
        <v>27609.967318046074</v>
      </c>
      <c r="Z40" s="226">
        <f>+Y$40*(1+'3-DONNEES DE BASE'!$E$84)</f>
        <v>28990.46568394838</v>
      </c>
      <c r="AA40" s="435">
        <f>+Z$40*(1+'3-DONNEES DE BASE'!$E$84)</f>
        <v>30439.988968145801</v>
      </c>
    </row>
    <row r="41" spans="1:58" s="240" customFormat="1" ht="30">
      <c r="B41" s="237" t="s">
        <v>132</v>
      </c>
      <c r="C41" s="238"/>
      <c r="D41" s="238"/>
      <c r="E41" s="238"/>
      <c r="F41" s="238"/>
      <c r="G41" s="238"/>
      <c r="H41" s="236">
        <f>+H40/H48</f>
        <v>0.10153238422279914</v>
      </c>
      <c r="I41" s="239">
        <f t="shared" ref="I41:AA41" si="9">+I40/I48</f>
        <v>0.10846173444066665</v>
      </c>
      <c r="J41" s="239">
        <f t="shared" si="9"/>
        <v>0.11586854933235156</v>
      </c>
      <c r="K41" s="239">
        <f t="shared" si="9"/>
        <v>0.12378398657366968</v>
      </c>
      <c r="L41" s="239">
        <f t="shared" si="9"/>
        <v>0.13224073427412431</v>
      </c>
      <c r="M41" s="239">
        <f t="shared" si="9"/>
        <v>0.14127297761742716</v>
      </c>
      <c r="N41" s="239">
        <f t="shared" si="9"/>
        <v>0.15091633849720729</v>
      </c>
      <c r="O41" s="239">
        <f t="shared" si="9"/>
        <v>0.16120778288576879</v>
      </c>
      <c r="P41" s="239">
        <f t="shared" si="9"/>
        <v>0.17218549008172165</v>
      </c>
      <c r="Q41" s="239">
        <f t="shared" si="9"/>
        <v>0.1887721078111915</v>
      </c>
      <c r="R41" s="239">
        <f t="shared" si="9"/>
        <v>0.19635737343833987</v>
      </c>
      <c r="S41" s="239">
        <f t="shared" si="9"/>
        <v>0.20417072078692025</v>
      </c>
      <c r="T41" s="239">
        <f t="shared" si="9"/>
        <v>0.21221287405347816</v>
      </c>
      <c r="U41" s="239">
        <f t="shared" si="9"/>
        <v>0.22048404016384743</v>
      </c>
      <c r="V41" s="239">
        <f t="shared" si="9"/>
        <v>0.22898387764822653</v>
      </c>
      <c r="W41" s="239">
        <f t="shared" si="9"/>
        <v>0.2377114668585025</v>
      </c>
      <c r="X41" s="239">
        <f t="shared" si="9"/>
        <v>0.24666528190222542</v>
      </c>
      <c r="Y41" s="239">
        <f t="shared" si="9"/>
        <v>0.25584316468040424</v>
      </c>
      <c r="Z41" s="239">
        <f t="shared" si="9"/>
        <v>0.26524230142424976</v>
      </c>
      <c r="AA41" s="453">
        <f t="shared" si="9"/>
        <v>0.27485920212845311</v>
      </c>
    </row>
    <row r="42" spans="1:58" s="117" customFormat="1" ht="17.45" customHeight="1">
      <c r="B42" s="241" t="s">
        <v>196</v>
      </c>
      <c r="C42" s="236"/>
      <c r="D42" s="324">
        <f>+'3-DONNEES DE BASE'!E85</f>
        <v>0.03</v>
      </c>
      <c r="E42" s="326"/>
      <c r="F42" s="326"/>
      <c r="G42" s="326"/>
      <c r="H42" s="226">
        <f>+'3-DONNEES DE BASE'!E85*('8-Calcul de base SANS TVA'!E26+'8-Calcul de base SANS TVA'!F26+'8-Calcul de base SANS TVA'!G26)</f>
        <v>40153.790953025062</v>
      </c>
      <c r="I42" s="226">
        <f>+'3-DONNEES DE BASE'!$E$85*('8-Calcul de base SANS TVA'!$E$26+'8-Calcul de base SANS TVA'!$F$26+'8-Calcul de base SANS TVA'!$G$26)</f>
        <v>40153.790953025062</v>
      </c>
      <c r="J42" s="226">
        <f>+'3-DONNEES DE BASE'!$E$85*('8-Calcul de base SANS TVA'!$E$26+'8-Calcul de base SANS TVA'!$F$26+'8-Calcul de base SANS TVA'!$G$26)</f>
        <v>40153.790953025062</v>
      </c>
      <c r="K42" s="226">
        <f>+'3-DONNEES DE BASE'!$E$85*('8-Calcul de base SANS TVA'!$E$26+'8-Calcul de base SANS TVA'!$F$26+'8-Calcul de base SANS TVA'!$G$26)</f>
        <v>40153.790953025062</v>
      </c>
      <c r="L42" s="226">
        <f>+'3-DONNEES DE BASE'!$E$85*('8-Calcul de base SANS TVA'!$E$26+'8-Calcul de base SANS TVA'!$F$26+'8-Calcul de base SANS TVA'!$G$26)</f>
        <v>40153.790953025062</v>
      </c>
      <c r="M42" s="226">
        <f>+'3-DONNEES DE BASE'!$E$85*('8-Calcul de base SANS TVA'!$E$26+'8-Calcul de base SANS TVA'!$F$26+'8-Calcul de base SANS TVA'!$G$26)</f>
        <v>40153.790953025062</v>
      </c>
      <c r="N42" s="226">
        <f>+'3-DONNEES DE BASE'!$E$85*('8-Calcul de base SANS TVA'!$E$26+'8-Calcul de base SANS TVA'!$F$26+'8-Calcul de base SANS TVA'!$G$26)</f>
        <v>40153.790953025062</v>
      </c>
      <c r="O42" s="226">
        <f>+'3-DONNEES DE BASE'!$E$85*('8-Calcul de base SANS TVA'!$E$26+'8-Calcul de base SANS TVA'!$F$26+'8-Calcul de base SANS TVA'!$G$26)</f>
        <v>40153.790953025062</v>
      </c>
      <c r="P42" s="226">
        <f>+'3-DONNEES DE BASE'!$E$85*('8-Calcul de base SANS TVA'!$E$26+'8-Calcul de base SANS TVA'!$F$26+'8-Calcul de base SANS TVA'!$G$26)</f>
        <v>40153.790953025062</v>
      </c>
      <c r="Q42" s="226">
        <f>+'3-DONNEES DE BASE'!$E$85*('8-Calcul de base SANS TVA'!$E$26+'8-Calcul de base SANS TVA'!$F$26+'8-Calcul de base SANS TVA'!$G$26)</f>
        <v>40153.790953025062</v>
      </c>
      <c r="R42" s="226">
        <f>+'3-DONNEES DE BASE'!$E$85*('8-Calcul de base SANS TVA'!$E$26+'8-Calcul de base SANS TVA'!$F$26+'8-Calcul de base SANS TVA'!$G$26)</f>
        <v>40153.790953025062</v>
      </c>
      <c r="S42" s="226">
        <f>+'3-DONNEES DE BASE'!$E$85*('8-Calcul de base SANS TVA'!$E$26+'8-Calcul de base SANS TVA'!$F$26+'8-Calcul de base SANS TVA'!$G$26)</f>
        <v>40153.790953025062</v>
      </c>
      <c r="T42" s="226">
        <f>+'3-DONNEES DE BASE'!$E$85*('8-Calcul de base SANS TVA'!$E$26+'8-Calcul de base SANS TVA'!$F$26+'8-Calcul de base SANS TVA'!$G$26)</f>
        <v>40153.790953025062</v>
      </c>
      <c r="U42" s="226">
        <f>+'3-DONNEES DE BASE'!$E$85*('8-Calcul de base SANS TVA'!$E$26+'8-Calcul de base SANS TVA'!$F$26+'8-Calcul de base SANS TVA'!$G$26)</f>
        <v>40153.790953025062</v>
      </c>
      <c r="V42" s="226">
        <f>+'3-DONNEES DE BASE'!$E$85*('8-Calcul de base SANS TVA'!$E$26+'8-Calcul de base SANS TVA'!$F$26+'8-Calcul de base SANS TVA'!$G$26)</f>
        <v>40153.790953025062</v>
      </c>
      <c r="W42" s="226">
        <f>+'3-DONNEES DE BASE'!$E$85*('8-Calcul de base SANS TVA'!$E$26+'8-Calcul de base SANS TVA'!$F$26+'8-Calcul de base SANS TVA'!$G$26)</f>
        <v>40153.790953025062</v>
      </c>
      <c r="X42" s="226">
        <f>+'3-DONNEES DE BASE'!$E$85*('8-Calcul de base SANS TVA'!$E$26+'8-Calcul de base SANS TVA'!$F$26+'8-Calcul de base SANS TVA'!$G$26)</f>
        <v>40153.790953025062</v>
      </c>
      <c r="Y42" s="226">
        <f>+'3-DONNEES DE BASE'!$E$85*('8-Calcul de base SANS TVA'!$E$26+'8-Calcul de base SANS TVA'!$F$26+'8-Calcul de base SANS TVA'!$G$26)</f>
        <v>40153.790953025062</v>
      </c>
      <c r="Z42" s="226">
        <f>+'3-DONNEES DE BASE'!$E$85*('8-Calcul de base SANS TVA'!$E$26+'8-Calcul de base SANS TVA'!$F$26+'8-Calcul de base SANS TVA'!$G$26)</f>
        <v>40153.790953025062</v>
      </c>
      <c r="AA42" s="435">
        <f>+'3-DONNEES DE BASE'!$E$85*('8-Calcul de base SANS TVA'!$E$26+'8-Calcul de base SANS TVA'!$F$26+'8-Calcul de base SANS TVA'!$G$26)</f>
        <v>40153.790953025062</v>
      </c>
    </row>
    <row r="43" spans="1:58" s="117" customFormat="1" ht="30">
      <c r="B43" s="423" t="s">
        <v>134</v>
      </c>
      <c r="C43" s="326"/>
      <c r="D43" s="326"/>
      <c r="E43" s="326"/>
      <c r="F43" s="226"/>
      <c r="G43" s="326"/>
      <c r="H43" s="236">
        <f>+H42/H48</f>
        <v>0.33844128074266377</v>
      </c>
      <c r="I43" s="236">
        <f t="shared" ref="I43:AA43" si="10">+I42/I48</f>
        <v>0.34432296647830674</v>
      </c>
      <c r="J43" s="236">
        <f t="shared" si="10"/>
        <v>0.35032063290204546</v>
      </c>
      <c r="K43" s="236">
        <f t="shared" si="10"/>
        <v>0.35643087232817089</v>
      </c>
      <c r="L43" s="236">
        <f t="shared" si="10"/>
        <v>0.36264926451872553</v>
      </c>
      <c r="M43" s="236">
        <f t="shared" si="10"/>
        <v>0.36897024859389022</v>
      </c>
      <c r="N43" s="236">
        <f t="shared" si="10"/>
        <v>0.3753869846354701</v>
      </c>
      <c r="O43" s="236">
        <f t="shared" si="10"/>
        <v>0.3818912052286198</v>
      </c>
      <c r="P43" s="236">
        <f t="shared" si="10"/>
        <v>0.38847305752503081</v>
      </c>
      <c r="Q43" s="236">
        <f t="shared" si="10"/>
        <v>0.40561394609440421</v>
      </c>
      <c r="R43" s="236">
        <f t="shared" si="10"/>
        <v>0.40182131328083004</v>
      </c>
      <c r="S43" s="236">
        <f t="shared" si="10"/>
        <v>0.39791463960653983</v>
      </c>
      <c r="T43" s="236">
        <f t="shared" si="10"/>
        <v>0.39389356297326089</v>
      </c>
      <c r="U43" s="236">
        <f t="shared" si="10"/>
        <v>0.38975797991807626</v>
      </c>
      <c r="V43" s="236">
        <f t="shared" si="10"/>
        <v>0.38550806117588671</v>
      </c>
      <c r="W43" s="236">
        <f t="shared" si="10"/>
        <v>0.38114426657074874</v>
      </c>
      <c r="X43" s="236">
        <f t="shared" si="10"/>
        <v>0.37666735904888726</v>
      </c>
      <c r="Y43" s="236">
        <f t="shared" si="10"/>
        <v>0.37207841765979788</v>
      </c>
      <c r="Z43" s="236">
        <f t="shared" si="10"/>
        <v>0.36737884928787512</v>
      </c>
      <c r="AA43" s="454">
        <f t="shared" si="10"/>
        <v>0.36257039893577347</v>
      </c>
    </row>
    <row r="44" spans="1:58" s="117" customFormat="1" ht="15" customHeight="1">
      <c r="B44" s="225" t="s">
        <v>197</v>
      </c>
      <c r="C44" s="236"/>
      <c r="D44" s="324">
        <f>+'3-DONNEES DE BASE'!E86</f>
        <v>0.03</v>
      </c>
      <c r="E44" s="326"/>
      <c r="F44" s="326"/>
      <c r="G44" s="326"/>
      <c r="H44" s="226">
        <f>+'3-DONNEES DE BASE'!$E$86*('8-Calcul de base SANS TVA'!$E$26+'8-Calcul de base SANS TVA'!$F$26+'8-Calcul de base SANS TVA'!$G$26)</f>
        <v>40153.790953025062</v>
      </c>
      <c r="I44" s="226">
        <f>+'3-DONNEES DE BASE'!$E$86*('8-Calcul de base SANS TVA'!$E$26+'8-Calcul de base SANS TVA'!$F$26+'8-Calcul de base SANS TVA'!$G$26)</f>
        <v>40153.790953025062</v>
      </c>
      <c r="J44" s="226">
        <f>+'3-DONNEES DE BASE'!$E$86*('8-Calcul de base SANS TVA'!$E$26+'8-Calcul de base SANS TVA'!$F$26+'8-Calcul de base SANS TVA'!$G$26)</f>
        <v>40153.790953025062</v>
      </c>
      <c r="K44" s="226">
        <f>+'3-DONNEES DE BASE'!$E$86*('8-Calcul de base SANS TVA'!$E$26+'8-Calcul de base SANS TVA'!$F$26+'8-Calcul de base SANS TVA'!$G$26)</f>
        <v>40153.790953025062</v>
      </c>
      <c r="L44" s="226">
        <f>+'3-DONNEES DE BASE'!$E$86*('8-Calcul de base SANS TVA'!$E$26+'8-Calcul de base SANS TVA'!$F$26+'8-Calcul de base SANS TVA'!$G$26)</f>
        <v>40153.790953025062</v>
      </c>
      <c r="M44" s="226">
        <f>+'3-DONNEES DE BASE'!$E$86*('8-Calcul de base SANS TVA'!$E$26+'8-Calcul de base SANS TVA'!$F$26+'8-Calcul de base SANS TVA'!$G$26)</f>
        <v>40153.790953025062</v>
      </c>
      <c r="N44" s="226">
        <f>+'3-DONNEES DE BASE'!$E$86*('8-Calcul de base SANS TVA'!$E$26+'8-Calcul de base SANS TVA'!$F$26+'8-Calcul de base SANS TVA'!$G$26)</f>
        <v>40153.790953025062</v>
      </c>
      <c r="O44" s="226">
        <f>+'3-DONNEES DE BASE'!$E$86*('8-Calcul de base SANS TVA'!$E$26+'8-Calcul de base SANS TVA'!$F$26+'8-Calcul de base SANS TVA'!$G$26)</f>
        <v>40153.790953025062</v>
      </c>
      <c r="P44" s="226">
        <f>+'3-DONNEES DE BASE'!$E$86*('8-Calcul de base SANS TVA'!$E$26+'8-Calcul de base SANS TVA'!$F$26+'8-Calcul de base SANS TVA'!$G$26)</f>
        <v>40153.790953025062</v>
      </c>
      <c r="Q44" s="226">
        <f>+'3-DONNEES DE BASE'!$E$86*('8-Calcul de base SANS TVA'!$E$26+'8-Calcul de base SANS TVA'!$F$26+'8-Calcul de base SANS TVA'!$G$26)</f>
        <v>40153.790953025062</v>
      </c>
      <c r="R44" s="226">
        <f>+'3-DONNEES DE BASE'!$E$86*('8-Calcul de base SANS TVA'!$E$26+'8-Calcul de base SANS TVA'!$F$26+'8-Calcul de base SANS TVA'!$G$26)</f>
        <v>40153.790953025062</v>
      </c>
      <c r="S44" s="226">
        <f>+'3-DONNEES DE BASE'!$E$86*('8-Calcul de base SANS TVA'!$E$26+'8-Calcul de base SANS TVA'!$F$26+'8-Calcul de base SANS TVA'!$G$26)</f>
        <v>40153.790953025062</v>
      </c>
      <c r="T44" s="226">
        <f>+'3-DONNEES DE BASE'!$E$86*('8-Calcul de base SANS TVA'!$E$26+'8-Calcul de base SANS TVA'!$F$26+'8-Calcul de base SANS TVA'!$G$26)</f>
        <v>40153.790953025062</v>
      </c>
      <c r="U44" s="226">
        <f>+'3-DONNEES DE BASE'!$E$86*('8-Calcul de base SANS TVA'!$E$26+'8-Calcul de base SANS TVA'!$F$26+'8-Calcul de base SANS TVA'!$G$26)</f>
        <v>40153.790953025062</v>
      </c>
      <c r="V44" s="226">
        <f>+'3-DONNEES DE BASE'!$E$86*('8-Calcul de base SANS TVA'!$E$26+'8-Calcul de base SANS TVA'!$F$26+'8-Calcul de base SANS TVA'!$G$26)</f>
        <v>40153.790953025062</v>
      </c>
      <c r="W44" s="226">
        <f>+'3-DONNEES DE BASE'!$E$86*('8-Calcul de base SANS TVA'!$E$26+'8-Calcul de base SANS TVA'!$F$26+'8-Calcul de base SANS TVA'!$G$26)</f>
        <v>40153.790953025062</v>
      </c>
      <c r="X44" s="226">
        <f>+'3-DONNEES DE BASE'!$E$86*('8-Calcul de base SANS TVA'!$E$26+'8-Calcul de base SANS TVA'!$F$26+'8-Calcul de base SANS TVA'!$G$26)</f>
        <v>40153.790953025062</v>
      </c>
      <c r="Y44" s="226">
        <f>+'3-DONNEES DE BASE'!$E$86*('8-Calcul de base SANS TVA'!$E$26+'8-Calcul de base SANS TVA'!$F$26+'8-Calcul de base SANS TVA'!$G$26)</f>
        <v>40153.790953025062</v>
      </c>
      <c r="Z44" s="226">
        <f>+'3-DONNEES DE BASE'!$E$86*('8-Calcul de base SANS TVA'!$E$26+'8-Calcul de base SANS TVA'!$F$26+'8-Calcul de base SANS TVA'!$G$26)</f>
        <v>40153.790953025062</v>
      </c>
      <c r="AA44" s="435">
        <f>+'3-DONNEES DE BASE'!$E$86*('8-Calcul de base SANS TVA'!$E$26+'8-Calcul de base SANS TVA'!$F$26+'8-Calcul de base SANS TVA'!$G$26)</f>
        <v>40153.790953025062</v>
      </c>
    </row>
    <row r="45" spans="1:58" s="116" customFormat="1" ht="30">
      <c r="B45" s="423" t="s">
        <v>136</v>
      </c>
      <c r="C45" s="326"/>
      <c r="D45" s="326"/>
      <c r="E45" s="326"/>
      <c r="F45" s="326"/>
      <c r="G45" s="326"/>
      <c r="H45" s="236">
        <f>+H44/H48</f>
        <v>0.33844128074266377</v>
      </c>
      <c r="I45" s="236">
        <f t="shared" ref="I45:AA45" si="11">+I44/I48</f>
        <v>0.34432296647830674</v>
      </c>
      <c r="J45" s="236">
        <f t="shared" si="11"/>
        <v>0.35032063290204546</v>
      </c>
      <c r="K45" s="236">
        <f t="shared" si="11"/>
        <v>0.35643087232817089</v>
      </c>
      <c r="L45" s="236">
        <f t="shared" si="11"/>
        <v>0.36264926451872553</v>
      </c>
      <c r="M45" s="236">
        <f t="shared" si="11"/>
        <v>0.36897024859389022</v>
      </c>
      <c r="N45" s="236">
        <f t="shared" si="11"/>
        <v>0.3753869846354701</v>
      </c>
      <c r="O45" s="236">
        <f t="shared" si="11"/>
        <v>0.3818912052286198</v>
      </c>
      <c r="P45" s="236">
        <f t="shared" si="11"/>
        <v>0.38847305752503081</v>
      </c>
      <c r="Q45" s="236">
        <f t="shared" si="11"/>
        <v>0.40561394609440421</v>
      </c>
      <c r="R45" s="236">
        <f t="shared" si="11"/>
        <v>0.40182131328083004</v>
      </c>
      <c r="S45" s="236">
        <f t="shared" si="11"/>
        <v>0.39791463960653983</v>
      </c>
      <c r="T45" s="236">
        <f t="shared" si="11"/>
        <v>0.39389356297326089</v>
      </c>
      <c r="U45" s="236">
        <f t="shared" si="11"/>
        <v>0.38975797991807626</v>
      </c>
      <c r="V45" s="236">
        <f t="shared" si="11"/>
        <v>0.38550806117588671</v>
      </c>
      <c r="W45" s="236">
        <f t="shared" si="11"/>
        <v>0.38114426657074874</v>
      </c>
      <c r="X45" s="236">
        <f t="shared" si="11"/>
        <v>0.37666735904888726</v>
      </c>
      <c r="Y45" s="236">
        <f t="shared" si="11"/>
        <v>0.37207841765979788</v>
      </c>
      <c r="Z45" s="236">
        <f t="shared" si="11"/>
        <v>0.36737884928787512</v>
      </c>
      <c r="AA45" s="454">
        <f t="shared" si="11"/>
        <v>0.36257039893577347</v>
      </c>
    </row>
    <row r="46" spans="1:58" s="283" customFormat="1" ht="15.95" customHeight="1">
      <c r="B46" s="382" t="s">
        <v>90</v>
      </c>
      <c r="C46" s="284"/>
      <c r="D46" s="284"/>
      <c r="E46" s="80">
        <f>+'7-Calcul de base AVEC   TVA'!E92+'7-Calcul de base AVEC   TVA'!E93</f>
        <v>5677.3836232301601</v>
      </c>
      <c r="F46" s="80">
        <f>+'7-Calcul de base AVEC   TVA'!F92+'7-Calcul de base AVEC   TVA'!F93</f>
        <v>21658.360499285358</v>
      </c>
      <c r="G46" s="80">
        <f>+'7-Calcul de base AVEC   TVA'!G92+'7-Calcul de base AVEC   TVA'!G93</f>
        <v>26289.582431629708</v>
      </c>
      <c r="H46" s="80">
        <f>+'7-Calcul de base AVEC   TVA'!H92+'7-Calcul de base AVEC   TVA'!H93</f>
        <v>26289.582431629708</v>
      </c>
      <c r="I46" s="80">
        <f>+'7-Calcul de base AVEC   TVA'!I92+'7-Calcul de base AVEC   TVA'!I93</f>
        <v>23660.624188466736</v>
      </c>
      <c r="J46" s="80">
        <f>+'7-Calcul de base AVEC   TVA'!J92+'7-Calcul de base AVEC   TVA'!J93</f>
        <v>21031.665945303765</v>
      </c>
      <c r="K46" s="80">
        <f>+'7-Calcul de base AVEC   TVA'!K92+'7-Calcul de base AVEC   TVA'!K93</f>
        <v>18402.707702140793</v>
      </c>
      <c r="L46" s="80">
        <f>+'7-Calcul de base AVEC   TVA'!L92+'7-Calcul de base AVEC   TVA'!L93</f>
        <v>15773.749458977822</v>
      </c>
      <c r="M46" s="80">
        <f>+'7-Calcul de base AVEC   TVA'!M92+'7-Calcul de base AVEC   TVA'!M93</f>
        <v>13144.79121581485</v>
      </c>
      <c r="N46" s="80">
        <f>+'7-Calcul de base AVEC   TVA'!N92+'7-Calcul de base AVEC   TVA'!N93</f>
        <v>10515.832972651879</v>
      </c>
      <c r="O46" s="80">
        <f>+'7-Calcul de base AVEC   TVA'!O92+'7-Calcul de base AVEC   TVA'!O93</f>
        <v>7886.8747294889081</v>
      </c>
      <c r="P46" s="80">
        <f>+'7-Calcul de base AVEC   TVA'!P92+'7-Calcul de base AVEC   TVA'!P93</f>
        <v>5257.9164863259375</v>
      </c>
      <c r="Q46" s="381"/>
      <c r="R46" s="381"/>
      <c r="S46" s="381"/>
      <c r="T46" s="381"/>
      <c r="U46" s="381"/>
      <c r="V46" s="381"/>
      <c r="W46" s="381"/>
      <c r="X46" s="381"/>
      <c r="Y46" s="285"/>
      <c r="Z46" s="285"/>
      <c r="AA46" s="450"/>
    </row>
    <row r="47" spans="1:58" s="117" customFormat="1" ht="24.95" customHeight="1">
      <c r="B47" s="423" t="s">
        <v>137</v>
      </c>
      <c r="C47" s="326"/>
      <c r="D47" s="326"/>
      <c r="E47" s="326"/>
      <c r="F47" s="326"/>
      <c r="G47" s="326"/>
      <c r="H47" s="236">
        <f t="shared" ref="H47:P47" si="12">+H46/H48</f>
        <v>0.22158505429187333</v>
      </c>
      <c r="I47" s="236">
        <f t="shared" si="12"/>
        <v>0.20289233260271988</v>
      </c>
      <c r="J47" s="236">
        <f t="shared" si="12"/>
        <v>0.1834901848635575</v>
      </c>
      <c r="K47" s="236">
        <f t="shared" si="12"/>
        <v>0.16335426876998857</v>
      </c>
      <c r="L47" s="236">
        <f t="shared" si="12"/>
        <v>0.14246073668842466</v>
      </c>
      <c r="M47" s="236">
        <f t="shared" si="12"/>
        <v>0.12078652519479242</v>
      </c>
      <c r="N47" s="236">
        <f t="shared" si="12"/>
        <v>9.8309692231852597E-2</v>
      </c>
      <c r="O47" s="236">
        <f t="shared" si="12"/>
        <v>7.5009806656991487E-2</v>
      </c>
      <c r="P47" s="236">
        <f t="shared" si="12"/>
        <v>5.0868394868216642E-2</v>
      </c>
      <c r="Q47" s="236"/>
      <c r="R47" s="236"/>
      <c r="S47" s="236"/>
      <c r="T47" s="236"/>
      <c r="U47" s="236"/>
      <c r="V47" s="236"/>
      <c r="W47" s="236"/>
      <c r="X47" s="236"/>
      <c r="Y47" s="236"/>
      <c r="Z47" s="236"/>
      <c r="AA47" s="454"/>
    </row>
    <row r="48" spans="1:58" s="250" customFormat="1" ht="18.95" customHeight="1">
      <c r="A48" s="249"/>
      <c r="B48" s="378" t="s">
        <v>111</v>
      </c>
      <c r="C48" s="379"/>
      <c r="D48" s="379"/>
      <c r="E48" s="126">
        <f t="shared" ref="E48:AA48" si="13">+E46+E44+E42+E40</f>
        <v>5677.3836232301601</v>
      </c>
      <c r="F48" s="126">
        <f t="shared" si="13"/>
        <v>21658.360499285358</v>
      </c>
      <c r="G48" s="126">
        <f t="shared" si="13"/>
        <v>26289.582431629708</v>
      </c>
      <c r="H48" s="126">
        <f t="shared" si="13"/>
        <v>118643.30162358735</v>
      </c>
      <c r="I48" s="126">
        <f t="shared" si="13"/>
        <v>116616.65024471976</v>
      </c>
      <c r="J48" s="126">
        <f t="shared" si="13"/>
        <v>114620.11420906693</v>
      </c>
      <c r="K48" s="126">
        <f t="shared" si="13"/>
        <v>112655.19928378961</v>
      </c>
      <c r="L48" s="126">
        <f t="shared" si="13"/>
        <v>110723.48652440657</v>
      </c>
      <c r="M48" s="126">
        <f t="shared" si="13"/>
        <v>108826.63603921254</v>
      </c>
      <c r="N48" s="126">
        <f t="shared" si="13"/>
        <v>106966.39094191694</v>
      </c>
      <c r="O48" s="126">
        <f t="shared" si="13"/>
        <v>105144.58150191474</v>
      </c>
      <c r="P48" s="126">
        <f t="shared" si="13"/>
        <v>103363.12950207054</v>
      </c>
      <c r="Q48" s="126">
        <f t="shared" si="13"/>
        <v>98995.094571229332</v>
      </c>
      <c r="R48" s="126">
        <f t="shared" si="13"/>
        <v>99929.470204488287</v>
      </c>
      <c r="S48" s="126">
        <f t="shared" si="13"/>
        <v>100910.5646194102</v>
      </c>
      <c r="T48" s="126">
        <f t="shared" si="13"/>
        <v>101940.71375507821</v>
      </c>
      <c r="U48" s="126">
        <f t="shared" si="13"/>
        <v>103022.37034752961</v>
      </c>
      <c r="V48" s="126">
        <f t="shared" si="13"/>
        <v>104158.10976960359</v>
      </c>
      <c r="W48" s="126">
        <f t="shared" si="13"/>
        <v>105350.63616278126</v>
      </c>
      <c r="X48" s="126">
        <f t="shared" si="13"/>
        <v>106602.78887561781</v>
      </c>
      <c r="Y48" s="126">
        <f t="shared" si="13"/>
        <v>107917.5492240962</v>
      </c>
      <c r="Z48" s="126">
        <f t="shared" si="13"/>
        <v>109298.0475899985</v>
      </c>
      <c r="AA48" s="455">
        <f t="shared" si="13"/>
        <v>110747.57087419592</v>
      </c>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row>
    <row r="49" spans="1:58" s="250" customFormat="1" ht="23.1" customHeight="1" thickBot="1">
      <c r="A49" s="249"/>
      <c r="B49" s="1443" t="s">
        <v>105</v>
      </c>
      <c r="C49" s="1444"/>
      <c r="D49" s="309"/>
      <c r="E49" s="310">
        <f>+E36-E48</f>
        <v>-5677.3836232301601</v>
      </c>
      <c r="F49" s="310">
        <f t="shared" ref="F49:AA49" si="14">+F36-F48</f>
        <v>-21658.360499285358</v>
      </c>
      <c r="G49" s="310">
        <f t="shared" si="14"/>
        <v>-26289.582431629708</v>
      </c>
      <c r="H49" s="310">
        <f t="shared" si="14"/>
        <v>37356.698376412649</v>
      </c>
      <c r="I49" s="310">
        <f t="shared" si="14"/>
        <v>79943.349755280244</v>
      </c>
      <c r="J49" s="310">
        <f t="shared" si="14"/>
        <v>133045.4857909331</v>
      </c>
      <c r="K49" s="310">
        <f t="shared" si="14"/>
        <v>199403.45671621041</v>
      </c>
      <c r="L49" s="310">
        <f t="shared" si="14"/>
        <v>268514.46347559342</v>
      </c>
      <c r="M49" s="310">
        <f t="shared" si="14"/>
        <v>289373.21146078757</v>
      </c>
      <c r="N49" s="310">
        <f t="shared" si="14"/>
        <v>311143.44893308298</v>
      </c>
      <c r="O49" s="310">
        <f t="shared" si="14"/>
        <v>333870.75036683539</v>
      </c>
      <c r="P49" s="310">
        <f t="shared" si="14"/>
        <v>357602.96896011697</v>
      </c>
      <c r="Q49" s="310">
        <f t="shared" si="14"/>
        <v>385019.30881406763</v>
      </c>
      <c r="R49" s="310">
        <f t="shared" si="14"/>
        <v>408285.65335007349</v>
      </c>
      <c r="S49" s="310">
        <f t="shared" si="14"/>
        <v>432715.31511287962</v>
      </c>
      <c r="T49" s="310">
        <f t="shared" si="14"/>
        <v>458366.45996382606</v>
      </c>
      <c r="U49" s="310">
        <f t="shared" si="14"/>
        <v>485300.16205731995</v>
      </c>
      <c r="V49" s="310">
        <f t="shared" si="14"/>
        <v>513580.54925548844</v>
      </c>
      <c r="W49" s="310">
        <f t="shared" si="14"/>
        <v>543274.95581356564</v>
      </c>
      <c r="X49" s="310">
        <f t="shared" si="14"/>
        <v>574454.08269954636</v>
      </c>
      <c r="Y49" s="310">
        <f t="shared" si="14"/>
        <v>607192.16592982609</v>
      </c>
      <c r="Z49" s="310">
        <f t="shared" si="14"/>
        <v>641567.15332162008</v>
      </c>
      <c r="AA49" s="456">
        <f t="shared" si="14"/>
        <v>677660.89008300344</v>
      </c>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49"/>
      <c r="AY49" s="249"/>
      <c r="AZ49" s="249"/>
      <c r="BA49" s="249"/>
      <c r="BB49" s="249"/>
      <c r="BC49" s="249"/>
      <c r="BD49" s="249"/>
      <c r="BE49" s="249"/>
      <c r="BF49" s="249"/>
    </row>
    <row r="50" spans="1:58" ht="15">
      <c r="B50" s="178"/>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row>
    <row r="51" spans="1:58" ht="15.75" thickBot="1">
      <c r="B51" s="178"/>
      <c r="C51" s="181"/>
      <c r="D51" s="181"/>
      <c r="E51" s="181"/>
      <c r="F51" s="181"/>
      <c r="G51" s="181"/>
      <c r="H51" s="181"/>
      <c r="I51" s="311"/>
      <c r="J51" s="181"/>
      <c r="K51" s="181"/>
      <c r="L51" s="181"/>
      <c r="M51" s="181"/>
      <c r="N51" s="181"/>
      <c r="O51" s="181"/>
      <c r="P51" s="181"/>
      <c r="Q51" s="181"/>
      <c r="R51" s="181"/>
      <c r="S51" s="181"/>
      <c r="T51" s="181"/>
      <c r="U51" s="181"/>
      <c r="V51" s="181"/>
      <c r="W51" s="181"/>
      <c r="X51" s="181"/>
      <c r="Y51" s="181"/>
      <c r="Z51" s="181"/>
      <c r="AA51" s="181"/>
    </row>
    <row r="52" spans="1:58">
      <c r="B52" s="1441" t="s">
        <v>145</v>
      </c>
      <c r="C52" s="1445"/>
      <c r="D52" s="1462"/>
      <c r="E52" s="1364">
        <f>'7-Calcul de base AVEC   TVA'!E50</f>
        <v>2020</v>
      </c>
      <c r="F52" s="1364">
        <f>'7-Calcul de base AVEC   TVA'!F50</f>
        <v>2021</v>
      </c>
      <c r="G52" s="1364">
        <f>'7-Calcul de base AVEC   TVA'!G50</f>
        <v>2022</v>
      </c>
      <c r="H52" s="1364">
        <f>'7-Calcul de base AVEC   TVA'!H50</f>
        <v>2023</v>
      </c>
      <c r="I52" s="1364">
        <f>'7-Calcul de base AVEC   TVA'!I50</f>
        <v>2024</v>
      </c>
      <c r="J52" s="1364">
        <f>'7-Calcul de base AVEC   TVA'!J50</f>
        <v>2025</v>
      </c>
      <c r="K52" s="1364">
        <f>'7-Calcul de base AVEC   TVA'!K50</f>
        <v>2026</v>
      </c>
      <c r="L52" s="1364">
        <f>'7-Calcul de base AVEC   TVA'!L50</f>
        <v>2027</v>
      </c>
      <c r="M52" s="1364">
        <f>'7-Calcul de base AVEC   TVA'!M50</f>
        <v>2028</v>
      </c>
      <c r="N52" s="1364">
        <f>'7-Calcul de base AVEC   TVA'!N50</f>
        <v>2029</v>
      </c>
      <c r="O52" s="1364">
        <f>'7-Calcul de base AVEC   TVA'!O50</f>
        <v>2030</v>
      </c>
      <c r="P52" s="1364">
        <f>'7-Calcul de base AVEC   TVA'!P50</f>
        <v>2031</v>
      </c>
      <c r="Q52" s="1364">
        <f>'7-Calcul de base AVEC   TVA'!Q50</f>
        <v>2032</v>
      </c>
      <c r="R52" s="1364">
        <f>'7-Calcul de base AVEC   TVA'!R50</f>
        <v>2033</v>
      </c>
      <c r="S52" s="1364">
        <f>'7-Calcul de base AVEC   TVA'!S50</f>
        <v>2034</v>
      </c>
      <c r="T52" s="1364">
        <f>'7-Calcul de base AVEC   TVA'!T50</f>
        <v>2035</v>
      </c>
      <c r="U52" s="1364">
        <f>'7-Calcul de base AVEC   TVA'!U50</f>
        <v>2036</v>
      </c>
      <c r="V52" s="1364">
        <f>'7-Calcul de base AVEC   TVA'!V50</f>
        <v>2037</v>
      </c>
      <c r="W52" s="1364">
        <f>'7-Calcul de base AVEC   TVA'!W50</f>
        <v>2038</v>
      </c>
      <c r="X52" s="1364">
        <f>'7-Calcul de base AVEC   TVA'!X50</f>
        <v>2039</v>
      </c>
      <c r="Y52" s="1364">
        <f>'7-Calcul de base AVEC   TVA'!Y50</f>
        <v>2040</v>
      </c>
      <c r="Z52" s="1364">
        <f>'7-Calcul de base AVEC   TVA'!Z50</f>
        <v>2041</v>
      </c>
      <c r="AA52" s="1423">
        <f>'7-Calcul de base AVEC   TVA'!AA50</f>
        <v>2042</v>
      </c>
    </row>
    <row r="53" spans="1:58">
      <c r="B53" s="1442"/>
      <c r="C53" s="1446"/>
      <c r="D53" s="1463"/>
      <c r="E53" s="1422"/>
      <c r="F53" s="1422"/>
      <c r="G53" s="1422"/>
      <c r="H53" s="1422"/>
      <c r="I53" s="1422"/>
      <c r="J53" s="1422"/>
      <c r="K53" s="1422"/>
      <c r="L53" s="1422"/>
      <c r="M53" s="1422"/>
      <c r="N53" s="1422"/>
      <c r="O53" s="1422"/>
      <c r="P53" s="1422"/>
      <c r="Q53" s="1422"/>
      <c r="R53" s="1422"/>
      <c r="S53" s="1422"/>
      <c r="T53" s="1422"/>
      <c r="U53" s="1422"/>
      <c r="V53" s="1422"/>
      <c r="W53" s="1422"/>
      <c r="X53" s="1422"/>
      <c r="Y53" s="1422"/>
      <c r="Z53" s="1422"/>
      <c r="AA53" s="1424"/>
    </row>
    <row r="54" spans="1:58" ht="15">
      <c r="B54" s="722" t="s">
        <v>103</v>
      </c>
      <c r="C54" s="251"/>
      <c r="D54" s="176"/>
      <c r="E54" s="176"/>
      <c r="F54" s="176"/>
      <c r="G54" s="176"/>
      <c r="H54" s="176"/>
      <c r="I54" s="176"/>
      <c r="J54" s="176"/>
      <c r="K54" s="176"/>
      <c r="L54" s="176"/>
      <c r="M54" s="176"/>
      <c r="N54" s="176"/>
      <c r="O54" s="176"/>
      <c r="P54" s="176"/>
      <c r="Q54" s="176"/>
      <c r="R54" s="176"/>
      <c r="S54" s="176"/>
      <c r="T54" s="176"/>
      <c r="U54" s="176"/>
      <c r="V54" s="176"/>
      <c r="W54" s="176"/>
      <c r="X54" s="176"/>
      <c r="Y54" s="176"/>
      <c r="Z54" s="176"/>
      <c r="AA54" s="457"/>
    </row>
    <row r="55" spans="1:58" ht="15">
      <c r="B55" s="723" t="s">
        <v>333</v>
      </c>
      <c r="C55" s="251"/>
      <c r="D55" s="176"/>
      <c r="E55" s="179">
        <f>+E26</f>
        <v>317907.20583930332</v>
      </c>
      <c r="F55" s="179">
        <f>+F26</f>
        <v>791376.2650235797</v>
      </c>
      <c r="G55" s="179">
        <f>+G26</f>
        <v>229176.22757128548</v>
      </c>
      <c r="H55" s="179"/>
      <c r="I55" s="179"/>
      <c r="J55" s="179"/>
      <c r="K55" s="179"/>
      <c r="L55" s="179"/>
      <c r="M55" s="179"/>
      <c r="N55" s="179"/>
      <c r="O55" s="179"/>
      <c r="P55" s="179"/>
      <c r="Q55" s="179"/>
      <c r="R55" s="179"/>
      <c r="S55" s="179"/>
      <c r="T55" s="179"/>
      <c r="U55" s="179"/>
      <c r="V55" s="179"/>
      <c r="W55" s="179"/>
      <c r="X55" s="179"/>
      <c r="Y55" s="179"/>
      <c r="Z55" s="179"/>
      <c r="AA55" s="223"/>
    </row>
    <row r="56" spans="1:58" s="116" customFormat="1" ht="30">
      <c r="B56" s="724" t="s">
        <v>335</v>
      </c>
      <c r="C56" s="719"/>
      <c r="D56" s="326"/>
      <c r="E56" s="226"/>
      <c r="F56" s="226"/>
      <c r="G56" s="226"/>
      <c r="H56" s="226">
        <v>0</v>
      </c>
      <c r="I56" s="226">
        <v>0</v>
      </c>
      <c r="J56" s="226">
        <v>0</v>
      </c>
      <c r="K56" s="226">
        <v>0</v>
      </c>
      <c r="L56" s="226">
        <v>0</v>
      </c>
      <c r="M56" s="226">
        <v>0</v>
      </c>
      <c r="N56" s="226">
        <v>0</v>
      </c>
      <c r="O56" s="226">
        <v>0</v>
      </c>
      <c r="P56" s="226">
        <v>0</v>
      </c>
      <c r="Q56" s="226">
        <f>+Q27</f>
        <v>70470.909303422857</v>
      </c>
      <c r="R56" s="226">
        <v>0</v>
      </c>
      <c r="S56" s="226">
        <v>0</v>
      </c>
      <c r="T56" s="226">
        <v>0</v>
      </c>
      <c r="U56" s="226">
        <v>0</v>
      </c>
      <c r="V56" s="226">
        <v>0</v>
      </c>
      <c r="W56" s="226">
        <v>0</v>
      </c>
      <c r="X56" s="226">
        <v>0</v>
      </c>
      <c r="Y56" s="226">
        <v>0</v>
      </c>
      <c r="Z56" s="226">
        <v>0</v>
      </c>
      <c r="AA56" s="435">
        <v>0</v>
      </c>
    </row>
    <row r="57" spans="1:58" s="116" customFormat="1" ht="45">
      <c r="B57" s="724" t="s">
        <v>336</v>
      </c>
      <c r="C57" s="719"/>
      <c r="D57" s="326"/>
      <c r="E57" s="226"/>
      <c r="F57" s="226"/>
      <c r="G57" s="226"/>
      <c r="H57" s="226">
        <v>0</v>
      </c>
      <c r="I57" s="226">
        <v>0</v>
      </c>
      <c r="J57" s="226">
        <v>0</v>
      </c>
      <c r="K57" s="226">
        <v>0</v>
      </c>
      <c r="L57" s="226">
        <f>+L28</f>
        <v>41305.227521277302</v>
      </c>
      <c r="M57" s="226">
        <v>0</v>
      </c>
      <c r="N57" s="226">
        <v>0</v>
      </c>
      <c r="O57" s="226">
        <v>0</v>
      </c>
      <c r="P57" s="226">
        <v>0</v>
      </c>
      <c r="Q57" s="226">
        <f>+Q28</f>
        <v>47884.079398479633</v>
      </c>
      <c r="R57" s="226">
        <v>0</v>
      </c>
      <c r="S57" s="226">
        <v>0</v>
      </c>
      <c r="T57" s="226">
        <v>0</v>
      </c>
      <c r="U57" s="226">
        <v>0</v>
      </c>
      <c r="V57" s="226">
        <f>+V28</f>
        <v>55510.771818380177</v>
      </c>
      <c r="W57" s="226">
        <v>0</v>
      </c>
      <c r="X57" s="226">
        <v>0</v>
      </c>
      <c r="Y57" s="226">
        <v>0</v>
      </c>
      <c r="Z57" s="226">
        <v>0</v>
      </c>
      <c r="AA57" s="435">
        <v>0</v>
      </c>
    </row>
    <row r="58" spans="1:58" ht="15">
      <c r="B58" s="725" t="s">
        <v>92</v>
      </c>
      <c r="C58" s="251"/>
      <c r="D58" s="176"/>
      <c r="E58" s="179"/>
      <c r="F58" s="179"/>
      <c r="G58" s="179"/>
      <c r="H58" s="179">
        <f>+'7-Calcul de base AVEC   TVA'!H94</f>
        <v>0</v>
      </c>
      <c r="I58" s="179">
        <f>+'7-Calcul de base AVEC   TVA'!I94</f>
        <v>30928.920507799652</v>
      </c>
      <c r="J58" s="179">
        <f>+'7-Calcul de base AVEC   TVA'!J94</f>
        <v>30928.920507799652</v>
      </c>
      <c r="K58" s="179">
        <f>+'7-Calcul de base AVEC   TVA'!K94</f>
        <v>30928.920507799652</v>
      </c>
      <c r="L58" s="179">
        <f>+'7-Calcul de base AVEC   TVA'!L94</f>
        <v>30928.920507799652</v>
      </c>
      <c r="M58" s="179">
        <f>+'7-Calcul de base AVEC   TVA'!M94</f>
        <v>30928.920507799652</v>
      </c>
      <c r="N58" s="179">
        <f>+'7-Calcul de base AVEC   TVA'!N94</f>
        <v>30928.920507799652</v>
      </c>
      <c r="O58" s="179">
        <f>+'7-Calcul de base AVEC   TVA'!O94</f>
        <v>30928.920507799652</v>
      </c>
      <c r="P58" s="179">
        <f>+'7-Calcul de base AVEC   TVA'!P94</f>
        <v>30928.920507799652</v>
      </c>
      <c r="Q58" s="179">
        <f>+'7-Calcul de base AVEC   TVA'!Q94</f>
        <v>30928.920507799652</v>
      </c>
      <c r="R58" s="179">
        <f>+'7-Calcul de base AVEC   TVA'!R94</f>
        <v>30928.920507799652</v>
      </c>
      <c r="S58" s="179"/>
      <c r="T58" s="179"/>
      <c r="U58" s="179"/>
      <c r="V58" s="179"/>
      <c r="W58" s="179"/>
      <c r="X58" s="179"/>
      <c r="Y58" s="179"/>
      <c r="Z58" s="179"/>
      <c r="AA58" s="223"/>
    </row>
    <row r="59" spans="1:58" ht="15">
      <c r="B59" s="723" t="s">
        <v>152</v>
      </c>
      <c r="C59" s="251"/>
      <c r="D59" s="176"/>
      <c r="E59" s="179"/>
      <c r="F59" s="179"/>
      <c r="G59" s="179"/>
      <c r="H59" s="179">
        <f>+'7-Calcul de base AVEC   TVA'!H95</f>
        <v>0</v>
      </c>
      <c r="I59" s="179">
        <f>+'7-Calcul de base AVEC   TVA'!I95</f>
        <v>0</v>
      </c>
      <c r="J59" s="179">
        <f>+'7-Calcul de base AVEC   TVA'!J95</f>
        <v>0</v>
      </c>
      <c r="K59" s="179">
        <f>+'7-Calcul de base AVEC   TVA'!K95</f>
        <v>0</v>
      </c>
      <c r="L59" s="179">
        <f>+'7-Calcul de base AVEC   TVA'!L95</f>
        <v>0</v>
      </c>
      <c r="M59" s="179">
        <f>+'7-Calcul de base AVEC   TVA'!M95</f>
        <v>0</v>
      </c>
      <c r="N59" s="179">
        <f>+'7-Calcul de base AVEC   TVA'!N95</f>
        <v>0</v>
      </c>
      <c r="O59" s="179">
        <f>+'7-Calcul de base AVEC   TVA'!O95</f>
        <v>0</v>
      </c>
      <c r="P59" s="179">
        <f>+'7-Calcul de base AVEC   TVA'!P95</f>
        <v>0</v>
      </c>
      <c r="Q59" s="179">
        <f>+'7-Calcul de base AVEC   TVA'!Q95</f>
        <v>0</v>
      </c>
      <c r="R59" s="179">
        <f>+'7-Calcul de base AVEC   TVA'!R95</f>
        <v>0</v>
      </c>
      <c r="S59" s="179">
        <f>+'7-Calcul de base AVEC   TVA'!S95</f>
        <v>0</v>
      </c>
      <c r="T59" s="179">
        <f>+'7-Calcul de base AVEC   TVA'!T95</f>
        <v>0</v>
      </c>
      <c r="U59" s="179">
        <f>+'7-Calcul de base AVEC   TVA'!U95</f>
        <v>0</v>
      </c>
      <c r="V59" s="179">
        <f>+'7-Calcul de base AVEC   TVA'!V95</f>
        <v>0</v>
      </c>
      <c r="W59" s="179">
        <f>+'7-Calcul de base AVEC   TVA'!W95</f>
        <v>0</v>
      </c>
      <c r="X59" s="179">
        <f>+'7-Calcul de base AVEC   TVA'!X95</f>
        <v>0</v>
      </c>
      <c r="Y59" s="179">
        <f>+'7-Calcul de base AVEC   TVA'!Y95</f>
        <v>0</v>
      </c>
      <c r="Z59" s="179">
        <f>+'7-Calcul de base AVEC   TVA'!Z95</f>
        <v>0</v>
      </c>
      <c r="AA59" s="179">
        <f>+'7-Calcul de base AVEC   TVA'!AA95</f>
        <v>0</v>
      </c>
    </row>
    <row r="60" spans="1:58" s="866" customFormat="1" ht="15">
      <c r="B60" s="863" t="s">
        <v>207</v>
      </c>
      <c r="C60" s="864"/>
      <c r="D60" s="865"/>
      <c r="E60" s="75">
        <f>+E59+E58+E57+E55</f>
        <v>317907.20583930332</v>
      </c>
      <c r="F60" s="75">
        <f t="shared" ref="F60:P60" si="15">+F59+F58+F57+F55</f>
        <v>791376.2650235797</v>
      </c>
      <c r="G60" s="75">
        <f t="shared" si="15"/>
        <v>229176.22757128548</v>
      </c>
      <c r="H60" s="75">
        <f t="shared" si="15"/>
        <v>0</v>
      </c>
      <c r="I60" s="75">
        <f t="shared" si="15"/>
        <v>30928.920507799652</v>
      </c>
      <c r="J60" s="75">
        <f t="shared" si="15"/>
        <v>30928.920507799652</v>
      </c>
      <c r="K60" s="75">
        <f t="shared" si="15"/>
        <v>30928.920507799652</v>
      </c>
      <c r="L60" s="75">
        <f t="shared" si="15"/>
        <v>72234.148029076954</v>
      </c>
      <c r="M60" s="75">
        <f t="shared" si="15"/>
        <v>30928.920507799652</v>
      </c>
      <c r="N60" s="75">
        <f t="shared" si="15"/>
        <v>30928.920507799652</v>
      </c>
      <c r="O60" s="75">
        <f t="shared" si="15"/>
        <v>30928.920507799652</v>
      </c>
      <c r="P60" s="75">
        <f t="shared" si="15"/>
        <v>30928.920507799652</v>
      </c>
      <c r="Q60" s="75">
        <f>+Q59+Q58+Q55</f>
        <v>30928.920507799652</v>
      </c>
      <c r="R60" s="75">
        <f>+R59+R58+R55</f>
        <v>30928.920507799652</v>
      </c>
      <c r="S60" s="75">
        <f t="shared" ref="S60:AA60" si="16">+S59+S58+S57+S55</f>
        <v>0</v>
      </c>
      <c r="T60" s="75">
        <f t="shared" si="16"/>
        <v>0</v>
      </c>
      <c r="U60" s="75">
        <f t="shared" si="16"/>
        <v>0</v>
      </c>
      <c r="V60" s="75"/>
      <c r="W60" s="75">
        <f t="shared" si="16"/>
        <v>0</v>
      </c>
      <c r="X60" s="75">
        <f t="shared" si="16"/>
        <v>0</v>
      </c>
      <c r="Y60" s="75">
        <f t="shared" si="16"/>
        <v>0</v>
      </c>
      <c r="Z60" s="75">
        <f t="shared" si="16"/>
        <v>0</v>
      </c>
      <c r="AA60" s="496">
        <f t="shared" si="16"/>
        <v>0</v>
      </c>
    </row>
    <row r="61" spans="1:58" s="52" customFormat="1" ht="15.75" thickBot="1">
      <c r="B61" s="863" t="s">
        <v>208</v>
      </c>
      <c r="C61" s="867"/>
      <c r="D61" s="868"/>
      <c r="E61" s="869">
        <f>+SUM(E55:E59)</f>
        <v>317907.20583930332</v>
      </c>
      <c r="F61" s="869">
        <f t="shared" ref="F61:AA61" si="17">+SUM(F55:F59)</f>
        <v>791376.2650235797</v>
      </c>
      <c r="G61" s="869">
        <f t="shared" si="17"/>
        <v>229176.22757128548</v>
      </c>
      <c r="H61" s="869">
        <f t="shared" si="17"/>
        <v>0</v>
      </c>
      <c r="I61" s="869">
        <f t="shared" si="17"/>
        <v>30928.920507799652</v>
      </c>
      <c r="J61" s="869">
        <f t="shared" si="17"/>
        <v>30928.920507799652</v>
      </c>
      <c r="K61" s="869">
        <f t="shared" si="17"/>
        <v>30928.920507799652</v>
      </c>
      <c r="L61" s="869">
        <f t="shared" si="17"/>
        <v>72234.148029076954</v>
      </c>
      <c r="M61" s="869">
        <f t="shared" si="17"/>
        <v>30928.920507799652</v>
      </c>
      <c r="N61" s="869">
        <f t="shared" si="17"/>
        <v>30928.920507799652</v>
      </c>
      <c r="O61" s="869">
        <f t="shared" si="17"/>
        <v>30928.920507799652</v>
      </c>
      <c r="P61" s="869">
        <f t="shared" si="17"/>
        <v>30928.920507799652</v>
      </c>
      <c r="Q61" s="869">
        <f t="shared" si="17"/>
        <v>149283.90920970213</v>
      </c>
      <c r="R61" s="869">
        <f t="shared" si="17"/>
        <v>30928.920507799652</v>
      </c>
      <c r="S61" s="869">
        <f t="shared" si="17"/>
        <v>0</v>
      </c>
      <c r="T61" s="869">
        <f t="shared" si="17"/>
        <v>0</v>
      </c>
      <c r="U61" s="869">
        <f t="shared" si="17"/>
        <v>0</v>
      </c>
      <c r="V61" s="869">
        <f t="shared" si="17"/>
        <v>55510.771818380177</v>
      </c>
      <c r="W61" s="869">
        <f t="shared" si="17"/>
        <v>0</v>
      </c>
      <c r="X61" s="869">
        <f t="shared" si="17"/>
        <v>0</v>
      </c>
      <c r="Y61" s="869">
        <f t="shared" si="17"/>
        <v>0</v>
      </c>
      <c r="Z61" s="869">
        <f t="shared" si="17"/>
        <v>0</v>
      </c>
      <c r="AA61" s="870">
        <f t="shared" si="17"/>
        <v>0</v>
      </c>
    </row>
    <row r="62" spans="1:58" ht="15">
      <c r="B62" s="718" t="s">
        <v>91</v>
      </c>
      <c r="C62" s="720"/>
      <c r="D62" s="850">
        <f>+'3-DONNEES DE BASE'!E104</f>
        <v>0.2</v>
      </c>
      <c r="E62" s="851">
        <f>+D62*E26</f>
        <v>63581.44116786067</v>
      </c>
      <c r="F62" s="851">
        <f>+D62*F26</f>
        <v>158275.25300471595</v>
      </c>
      <c r="G62" s="852">
        <f>+D62*G26</f>
        <v>45835.245514257098</v>
      </c>
      <c r="H62" s="235"/>
      <c r="I62" s="179"/>
      <c r="J62" s="179"/>
      <c r="K62" s="179"/>
      <c r="L62" s="179"/>
      <c r="M62" s="179"/>
      <c r="N62" s="179"/>
      <c r="O62" s="179"/>
      <c r="P62" s="179"/>
      <c r="Q62" s="179"/>
      <c r="R62" s="179"/>
      <c r="S62" s="179"/>
      <c r="T62" s="179"/>
      <c r="U62" s="179"/>
      <c r="V62" s="179"/>
      <c r="W62" s="179"/>
      <c r="X62" s="179"/>
      <c r="Y62" s="179"/>
      <c r="Z62" s="179"/>
      <c r="AA62" s="223"/>
    </row>
    <row r="63" spans="1:58" ht="15">
      <c r="B63" s="718" t="s">
        <v>153</v>
      </c>
      <c r="C63" s="720"/>
      <c r="D63" s="853">
        <f>+'3-DONNEES DE BASE'!E105</f>
        <v>0</v>
      </c>
      <c r="E63" s="854">
        <f>+D63*E26</f>
        <v>0</v>
      </c>
      <c r="F63" s="854">
        <f>+D63*F26</f>
        <v>0</v>
      </c>
      <c r="G63" s="855">
        <f>+D63*G26</f>
        <v>0</v>
      </c>
      <c r="H63" s="235"/>
      <c r="I63" s="56" t="s">
        <v>87</v>
      </c>
      <c r="J63" s="179"/>
      <c r="K63" s="179"/>
      <c r="L63" s="179"/>
      <c r="M63" s="179"/>
      <c r="N63" s="179"/>
      <c r="O63" s="179"/>
      <c r="P63" s="179"/>
      <c r="Q63" s="179"/>
      <c r="R63" s="179"/>
      <c r="S63" s="179"/>
      <c r="T63" s="179"/>
      <c r="U63" s="179"/>
      <c r="V63" s="179"/>
      <c r="W63" s="179"/>
      <c r="X63" s="179"/>
      <c r="Y63" s="179"/>
      <c r="Z63" s="179"/>
      <c r="AA63" s="223"/>
    </row>
    <row r="64" spans="1:58" ht="15.75" thickBot="1">
      <c r="B64" s="718" t="s">
        <v>112</v>
      </c>
      <c r="C64" s="858"/>
      <c r="D64" s="860"/>
      <c r="E64" s="861">
        <f>+SUM(E62:E63)</f>
        <v>63581.44116786067</v>
      </c>
      <c r="F64" s="861">
        <f>+SUM(F62:F63)</f>
        <v>158275.25300471595</v>
      </c>
      <c r="G64" s="862">
        <f>+SUM(G62:G63)</f>
        <v>45835.245514257098</v>
      </c>
      <c r="H64" s="235">
        <f>'7-Calcul de base AVEC   TVA'!H64</f>
        <v>0</v>
      </c>
      <c r="I64" s="179">
        <f>'7-Calcul de base AVEC   TVA'!I64</f>
        <v>0</v>
      </c>
      <c r="J64" s="179">
        <f>'7-Calcul de base AVEC   TVA'!J64</f>
        <v>0</v>
      </c>
      <c r="K64" s="179">
        <f>'7-Calcul de base AVEC   TVA'!K64</f>
        <v>0</v>
      </c>
      <c r="L64" s="179">
        <f>'7-Calcul de base AVEC   TVA'!L64</f>
        <v>0</v>
      </c>
      <c r="M64" s="179">
        <f>'7-Calcul de base AVEC   TVA'!M64</f>
        <v>0</v>
      </c>
      <c r="N64" s="179">
        <f>'7-Calcul de base AVEC   TVA'!N64</f>
        <v>0</v>
      </c>
      <c r="O64" s="179">
        <f>'7-Calcul de base AVEC   TVA'!O64</f>
        <v>0</v>
      </c>
      <c r="P64" s="179">
        <f>'7-Calcul de base AVEC   TVA'!P64</f>
        <v>0</v>
      </c>
      <c r="Q64" s="179">
        <f>'7-Calcul de base AVEC   TVA'!Q64</f>
        <v>0</v>
      </c>
      <c r="R64" s="179">
        <f>'7-Calcul de base AVEC   TVA'!R64</f>
        <v>0</v>
      </c>
      <c r="S64" s="179">
        <f>'7-Calcul de base AVEC   TVA'!S64</f>
        <v>0</v>
      </c>
      <c r="T64" s="179">
        <f>'7-Calcul de base AVEC   TVA'!T64</f>
        <v>0</v>
      </c>
      <c r="U64" s="179">
        <f>'7-Calcul de base AVEC   TVA'!U64</f>
        <v>0</v>
      </c>
      <c r="V64" s="179">
        <f>'7-Calcul de base AVEC   TVA'!V64</f>
        <v>0</v>
      </c>
      <c r="W64" s="179">
        <f>'7-Calcul de base AVEC   TVA'!W64</f>
        <v>0</v>
      </c>
      <c r="X64" s="179">
        <f>'7-Calcul de base AVEC   TVA'!X64</f>
        <v>0</v>
      </c>
      <c r="Y64" s="179">
        <f>'7-Calcul de base AVEC   TVA'!Y64</f>
        <v>0</v>
      </c>
      <c r="Z64" s="179">
        <f>'7-Calcul de base AVEC   TVA'!Z64</f>
        <v>0</v>
      </c>
      <c r="AA64" s="223">
        <f>'7-Calcul de base AVEC   TVA'!AA64</f>
        <v>0</v>
      </c>
    </row>
    <row r="65" spans="1:27" ht="15">
      <c r="B65" s="726" t="s">
        <v>105</v>
      </c>
      <c r="C65" s="251"/>
      <c r="D65" s="227"/>
      <c r="E65" s="859">
        <f>+E49</f>
        <v>-5677.3836232301601</v>
      </c>
      <c r="F65" s="859">
        <f>'7-Calcul de base AVEC   TVA'!F65</f>
        <v>-21658.360499285358</v>
      </c>
      <c r="G65" s="859">
        <f>'7-Calcul de base AVEC   TVA'!G65</f>
        <v>-26289.582431629708</v>
      </c>
      <c r="H65" s="179">
        <f t="shared" ref="H65:AA65" si="18">+H49</f>
        <v>37356.698376412649</v>
      </c>
      <c r="I65" s="224">
        <f t="shared" si="18"/>
        <v>79943.349755280244</v>
      </c>
      <c r="J65" s="224">
        <f t="shared" si="18"/>
        <v>133045.4857909331</v>
      </c>
      <c r="K65" s="224">
        <f t="shared" si="18"/>
        <v>199403.45671621041</v>
      </c>
      <c r="L65" s="224">
        <f t="shared" si="18"/>
        <v>268514.46347559342</v>
      </c>
      <c r="M65" s="224">
        <f t="shared" si="18"/>
        <v>289373.21146078757</v>
      </c>
      <c r="N65" s="224">
        <f t="shared" si="18"/>
        <v>311143.44893308298</v>
      </c>
      <c r="O65" s="224">
        <f t="shared" si="18"/>
        <v>333870.75036683539</v>
      </c>
      <c r="P65" s="224">
        <f t="shared" si="18"/>
        <v>357602.96896011697</v>
      </c>
      <c r="Q65" s="224">
        <f t="shared" si="18"/>
        <v>385019.30881406763</v>
      </c>
      <c r="R65" s="224">
        <f t="shared" si="18"/>
        <v>408285.65335007349</v>
      </c>
      <c r="S65" s="224">
        <f t="shared" si="18"/>
        <v>432715.31511287962</v>
      </c>
      <c r="T65" s="224">
        <f t="shared" si="18"/>
        <v>458366.45996382606</v>
      </c>
      <c r="U65" s="224">
        <f t="shared" si="18"/>
        <v>485300.16205731995</v>
      </c>
      <c r="V65" s="224">
        <f t="shared" si="18"/>
        <v>513580.54925548844</v>
      </c>
      <c r="W65" s="224">
        <f t="shared" si="18"/>
        <v>543274.95581356564</v>
      </c>
      <c r="X65" s="224">
        <f t="shared" si="18"/>
        <v>574454.08269954636</v>
      </c>
      <c r="Y65" s="224">
        <f t="shared" si="18"/>
        <v>607192.16592982609</v>
      </c>
      <c r="Z65" s="224">
        <f t="shared" si="18"/>
        <v>641567.15332162008</v>
      </c>
      <c r="AA65" s="458">
        <f t="shared" si="18"/>
        <v>677660.89008300344</v>
      </c>
    </row>
    <row r="66" spans="1:27" ht="15">
      <c r="B66" s="718" t="s">
        <v>120</v>
      </c>
      <c r="C66" s="251"/>
      <c r="D66" s="176"/>
      <c r="E66" s="179">
        <f>'7-Calcul de base AVEC   TVA'!E66</f>
        <v>0</v>
      </c>
      <c r="F66" s="179">
        <f>'7-Calcul de base AVEC   TVA'!F66</f>
        <v>0</v>
      </c>
      <c r="G66" s="179">
        <f>'7-Calcul de base AVEC   TVA'!G66</f>
        <v>0</v>
      </c>
      <c r="H66" s="179">
        <f>'7-Calcul de base AVEC   TVA'!H66</f>
        <v>0</v>
      </c>
      <c r="I66" s="179">
        <f>'7-Calcul de base AVEC   TVA'!I66</f>
        <v>0</v>
      </c>
      <c r="J66" s="179">
        <f>'7-Calcul de base AVEC   TVA'!J66</f>
        <v>0</v>
      </c>
      <c r="K66" s="179">
        <f>'7-Calcul de base AVEC   TVA'!K66</f>
        <v>0</v>
      </c>
      <c r="L66" s="179">
        <f>'7-Calcul de base AVEC   TVA'!L66</f>
        <v>0</v>
      </c>
      <c r="M66" s="179">
        <f>'7-Calcul de base AVEC   TVA'!M66</f>
        <v>0</v>
      </c>
      <c r="N66" s="179">
        <f>'7-Calcul de base AVEC   TVA'!N66</f>
        <v>0</v>
      </c>
      <c r="O66" s="179">
        <f>'7-Calcul de base AVEC   TVA'!O66</f>
        <v>0</v>
      </c>
      <c r="P66" s="179">
        <f>'7-Calcul de base AVEC   TVA'!P66</f>
        <v>0</v>
      </c>
      <c r="Q66" s="179">
        <f>+'9-Cout  projet avec et sans TVA'!K63*(1+'3-DONNEES DE BASE'!E33)^10</f>
        <v>900216.77859354927</v>
      </c>
      <c r="R66" s="179">
        <f>'7-Calcul de base AVEC   TVA'!R66</f>
        <v>0</v>
      </c>
      <c r="S66" s="179">
        <f>'7-Calcul de base AVEC   TVA'!S66</f>
        <v>0</v>
      </c>
      <c r="T66" s="179">
        <f>'7-Calcul de base AVEC   TVA'!T66</f>
        <v>0</v>
      </c>
      <c r="U66" s="179">
        <f>'7-Calcul de base AVEC   TVA'!U66</f>
        <v>0</v>
      </c>
      <c r="V66" s="179">
        <f>'7-Calcul de base AVEC   TVA'!V66</f>
        <v>0</v>
      </c>
      <c r="W66" s="179">
        <f>'7-Calcul de base AVEC   TVA'!W66</f>
        <v>0</v>
      </c>
      <c r="X66" s="179">
        <f>'7-Calcul de base AVEC   TVA'!X66</f>
        <v>0</v>
      </c>
      <c r="Y66" s="179">
        <f>'7-Calcul de base AVEC   TVA'!Y66</f>
        <v>0</v>
      </c>
      <c r="Z66" s="179">
        <f>'7-Calcul de base AVEC   TVA'!Z66</f>
        <v>0</v>
      </c>
      <c r="AA66" s="223">
        <f>'7-Calcul de base AVEC   TVA'!AA66</f>
        <v>0</v>
      </c>
    </row>
    <row r="67" spans="1:27" ht="15">
      <c r="B67" s="718" t="s">
        <v>121</v>
      </c>
      <c r="C67" s="251"/>
      <c r="D67" s="176"/>
      <c r="E67" s="179">
        <f>'7-Calcul de base AVEC   TVA'!E67</f>
        <v>0</v>
      </c>
      <c r="F67" s="179">
        <f>'7-Calcul de base AVEC   TVA'!F67</f>
        <v>0</v>
      </c>
      <c r="G67" s="179">
        <f>'7-Calcul de base AVEC   TVA'!G67</f>
        <v>0</v>
      </c>
      <c r="H67" s="179">
        <f>'7-Calcul de base AVEC   TVA'!H67</f>
        <v>0</v>
      </c>
      <c r="I67" s="179">
        <f>'7-Calcul de base AVEC   TVA'!I67</f>
        <v>0</v>
      </c>
      <c r="J67" s="179">
        <f>'7-Calcul de base AVEC   TVA'!J67</f>
        <v>0</v>
      </c>
      <c r="K67" s="179">
        <f>'7-Calcul de base AVEC   TVA'!K67</f>
        <v>0</v>
      </c>
      <c r="L67" s="179">
        <f>'7-Calcul de base AVEC   TVA'!L67</f>
        <v>0</v>
      </c>
      <c r="M67" s="179">
        <f>'7-Calcul de base AVEC   TVA'!M67</f>
        <v>0</v>
      </c>
      <c r="N67" s="179">
        <f>'7-Calcul de base AVEC   TVA'!N67</f>
        <v>0</v>
      </c>
      <c r="O67" s="179">
        <f>'7-Calcul de base AVEC   TVA'!O67</f>
        <v>0</v>
      </c>
      <c r="P67" s="179">
        <f>'7-Calcul de base AVEC   TVA'!P67</f>
        <v>0</v>
      </c>
      <c r="Q67" s="179">
        <f>'7-Calcul de base AVEC   TVA'!Q67</f>
        <v>0</v>
      </c>
      <c r="R67" s="179">
        <f>'7-Calcul de base AVEC   TVA'!R67</f>
        <v>0</v>
      </c>
      <c r="S67" s="179">
        <f>'7-Calcul de base AVEC   TVA'!S67</f>
        <v>0</v>
      </c>
      <c r="T67" s="179">
        <f>'7-Calcul de base AVEC   TVA'!T67</f>
        <v>0</v>
      </c>
      <c r="U67" s="179">
        <f>'7-Calcul de base AVEC   TVA'!U67</f>
        <v>0</v>
      </c>
      <c r="V67" s="179">
        <f>'7-Calcul de base AVEC   TVA'!V67</f>
        <v>0</v>
      </c>
      <c r="W67" s="179">
        <f>'7-Calcul de base AVEC   TVA'!W67</f>
        <v>0</v>
      </c>
      <c r="X67" s="179">
        <f>'7-Calcul de base AVEC   TVA'!X67</f>
        <v>0</v>
      </c>
      <c r="Y67" s="179">
        <f>'7-Calcul de base AVEC   TVA'!Y67</f>
        <v>0</v>
      </c>
      <c r="Z67" s="179">
        <f>'7-Calcul de base AVEC   TVA'!Z67</f>
        <v>0</v>
      </c>
      <c r="AA67" s="223">
        <f>+'9-Cout  projet avec et sans TVA'!L63*(1+'3-DONNEES DE BASE'!E33)^20</f>
        <v>806544.04914151435</v>
      </c>
    </row>
    <row r="68" spans="1:27" s="744" customFormat="1" ht="15">
      <c r="B68" s="863" t="s">
        <v>205</v>
      </c>
      <c r="C68" s="864"/>
      <c r="D68" s="865"/>
      <c r="E68" s="75">
        <f>+E66+E65+E64</f>
        <v>57904.057544630508</v>
      </c>
      <c r="F68" s="75">
        <f t="shared" ref="F68:Q68" si="19">+F66+F65+F64</f>
        <v>136616.89250543059</v>
      </c>
      <c r="G68" s="75">
        <f t="shared" si="19"/>
        <v>19545.66308262739</v>
      </c>
      <c r="H68" s="75">
        <f t="shared" si="19"/>
        <v>37356.698376412649</v>
      </c>
      <c r="I68" s="75">
        <f t="shared" si="19"/>
        <v>79943.349755280244</v>
      </c>
      <c r="J68" s="75">
        <f t="shared" si="19"/>
        <v>133045.4857909331</v>
      </c>
      <c r="K68" s="75">
        <f t="shared" si="19"/>
        <v>199403.45671621041</v>
      </c>
      <c r="L68" s="75">
        <f t="shared" si="19"/>
        <v>268514.46347559342</v>
      </c>
      <c r="M68" s="75">
        <f t="shared" si="19"/>
        <v>289373.21146078757</v>
      </c>
      <c r="N68" s="75">
        <f t="shared" si="19"/>
        <v>311143.44893308298</v>
      </c>
      <c r="O68" s="75">
        <f t="shared" si="19"/>
        <v>333870.75036683539</v>
      </c>
      <c r="P68" s="75">
        <f t="shared" si="19"/>
        <v>357602.96896011697</v>
      </c>
      <c r="Q68" s="75">
        <f t="shared" si="19"/>
        <v>1285236.0874076169</v>
      </c>
      <c r="R68" s="75">
        <f>'7-Calcul de base AVEC   TVA'!R68</f>
        <v>0</v>
      </c>
      <c r="S68" s="75">
        <f>'7-Calcul de base AVEC   TVA'!S68</f>
        <v>0</v>
      </c>
      <c r="T68" s="75">
        <f>'7-Calcul de base AVEC   TVA'!T68</f>
        <v>0</v>
      </c>
      <c r="U68" s="75">
        <f>'7-Calcul de base AVEC   TVA'!U68</f>
        <v>0</v>
      </c>
      <c r="V68" s="75">
        <f>'7-Calcul de base AVEC   TVA'!V68</f>
        <v>0</v>
      </c>
      <c r="W68" s="75">
        <f>'7-Calcul de base AVEC   TVA'!W68</f>
        <v>0</v>
      </c>
      <c r="X68" s="75">
        <f>'7-Calcul de base AVEC   TVA'!X68</f>
        <v>0</v>
      </c>
      <c r="Y68" s="75">
        <f>'7-Calcul de base AVEC   TVA'!Y68</f>
        <v>0</v>
      </c>
      <c r="Z68" s="75">
        <f>'7-Calcul de base AVEC   TVA'!Z68</f>
        <v>0</v>
      </c>
      <c r="AA68" s="496">
        <f>'7-Calcul de base AVEC   TVA'!AA68</f>
        <v>0</v>
      </c>
    </row>
    <row r="69" spans="1:27" s="746" customFormat="1" ht="15">
      <c r="B69" s="863" t="s">
        <v>206</v>
      </c>
      <c r="C69" s="864"/>
      <c r="D69" s="865"/>
      <c r="E69" s="872">
        <f>+E67+E65+E64</f>
        <v>57904.057544630508</v>
      </c>
      <c r="F69" s="872">
        <f t="shared" ref="F69:AA69" si="20">+F67+F65+F64</f>
        <v>136616.89250543059</v>
      </c>
      <c r="G69" s="872">
        <f t="shared" si="20"/>
        <v>19545.66308262739</v>
      </c>
      <c r="H69" s="872">
        <f t="shared" si="20"/>
        <v>37356.698376412649</v>
      </c>
      <c r="I69" s="872">
        <f t="shared" si="20"/>
        <v>79943.349755280244</v>
      </c>
      <c r="J69" s="872">
        <f t="shared" si="20"/>
        <v>133045.4857909331</v>
      </c>
      <c r="K69" s="872">
        <f t="shared" si="20"/>
        <v>199403.45671621041</v>
      </c>
      <c r="L69" s="872">
        <f t="shared" si="20"/>
        <v>268514.46347559342</v>
      </c>
      <c r="M69" s="872">
        <f t="shared" si="20"/>
        <v>289373.21146078757</v>
      </c>
      <c r="N69" s="872">
        <f t="shared" si="20"/>
        <v>311143.44893308298</v>
      </c>
      <c r="O69" s="872">
        <f t="shared" si="20"/>
        <v>333870.75036683539</v>
      </c>
      <c r="P69" s="872">
        <f t="shared" si="20"/>
        <v>357602.96896011697</v>
      </c>
      <c r="Q69" s="872">
        <f t="shared" si="20"/>
        <v>385019.30881406763</v>
      </c>
      <c r="R69" s="872">
        <f t="shared" si="20"/>
        <v>408285.65335007349</v>
      </c>
      <c r="S69" s="872">
        <f t="shared" si="20"/>
        <v>432715.31511287962</v>
      </c>
      <c r="T69" s="872">
        <f t="shared" si="20"/>
        <v>458366.45996382606</v>
      </c>
      <c r="U69" s="872">
        <f t="shared" si="20"/>
        <v>485300.16205731995</v>
      </c>
      <c r="V69" s="872">
        <f t="shared" si="20"/>
        <v>513580.54925548844</v>
      </c>
      <c r="W69" s="872">
        <f t="shared" si="20"/>
        <v>543274.95581356564</v>
      </c>
      <c r="X69" s="872">
        <f t="shared" si="20"/>
        <v>574454.08269954636</v>
      </c>
      <c r="Y69" s="872">
        <f t="shared" si="20"/>
        <v>607192.16592982609</v>
      </c>
      <c r="Z69" s="872">
        <f t="shared" si="20"/>
        <v>641567.15332162008</v>
      </c>
      <c r="AA69" s="873">
        <f t="shared" si="20"/>
        <v>1484204.9392245179</v>
      </c>
    </row>
    <row r="70" spans="1:27" s="874" customFormat="1" ht="30">
      <c r="A70" s="877"/>
      <c r="B70" s="875" t="s">
        <v>124</v>
      </c>
      <c r="C70" s="878"/>
      <c r="D70" s="294"/>
      <c r="E70" s="881">
        <f t="shared" ref="E70:Q70" si="21">+E68-E60</f>
        <v>-260003.14829467281</v>
      </c>
      <c r="F70" s="881">
        <f t="shared" si="21"/>
        <v>-654759.37251814909</v>
      </c>
      <c r="G70" s="881">
        <f t="shared" si="21"/>
        <v>-209630.5644886581</v>
      </c>
      <c r="H70" s="881">
        <f t="shared" si="21"/>
        <v>37356.698376412649</v>
      </c>
      <c r="I70" s="881">
        <f t="shared" si="21"/>
        <v>49014.429247480592</v>
      </c>
      <c r="J70" s="881">
        <f t="shared" si="21"/>
        <v>102116.56528313344</v>
      </c>
      <c r="K70" s="881">
        <f t="shared" si="21"/>
        <v>168474.53620841075</v>
      </c>
      <c r="L70" s="881">
        <f t="shared" si="21"/>
        <v>196280.31544651647</v>
      </c>
      <c r="M70" s="881">
        <f t="shared" si="21"/>
        <v>258444.29095298791</v>
      </c>
      <c r="N70" s="881">
        <f t="shared" si="21"/>
        <v>280214.52842528332</v>
      </c>
      <c r="O70" s="881">
        <f t="shared" si="21"/>
        <v>302941.82985903573</v>
      </c>
      <c r="P70" s="881">
        <f t="shared" si="21"/>
        <v>326674.04845231731</v>
      </c>
      <c r="Q70" s="881">
        <f t="shared" si="21"/>
        <v>1254307.1668998173</v>
      </c>
      <c r="R70" s="808"/>
      <c r="S70" s="808"/>
      <c r="T70" s="808"/>
      <c r="U70" s="808"/>
      <c r="V70" s="808"/>
      <c r="W70" s="808"/>
      <c r="X70" s="808"/>
      <c r="Y70" s="808"/>
      <c r="Z70" s="808"/>
      <c r="AA70" s="809"/>
    </row>
    <row r="71" spans="1:27" s="874" customFormat="1" ht="30.75" thickBot="1">
      <c r="A71" s="877"/>
      <c r="B71" s="876" t="s">
        <v>125</v>
      </c>
      <c r="C71" s="879"/>
      <c r="D71" s="880"/>
      <c r="E71" s="812">
        <f t="shared" ref="E71:Q71" si="22">+E69-E61</f>
        <v>-260003.14829467281</v>
      </c>
      <c r="F71" s="812">
        <f t="shared" si="22"/>
        <v>-654759.37251814909</v>
      </c>
      <c r="G71" s="812">
        <f t="shared" si="22"/>
        <v>-209630.5644886581</v>
      </c>
      <c r="H71" s="812">
        <f t="shared" si="22"/>
        <v>37356.698376412649</v>
      </c>
      <c r="I71" s="812">
        <f t="shared" si="22"/>
        <v>49014.429247480592</v>
      </c>
      <c r="J71" s="812">
        <f t="shared" si="22"/>
        <v>102116.56528313344</v>
      </c>
      <c r="K71" s="812">
        <f t="shared" si="22"/>
        <v>168474.53620841075</v>
      </c>
      <c r="L71" s="812">
        <f t="shared" si="22"/>
        <v>196280.31544651647</v>
      </c>
      <c r="M71" s="812">
        <f t="shared" si="22"/>
        <v>258444.29095298791</v>
      </c>
      <c r="N71" s="812">
        <f t="shared" si="22"/>
        <v>280214.52842528332</v>
      </c>
      <c r="O71" s="812">
        <f t="shared" si="22"/>
        <v>302941.82985903573</v>
      </c>
      <c r="P71" s="812">
        <f t="shared" si="22"/>
        <v>326674.04845231731</v>
      </c>
      <c r="Q71" s="812">
        <f t="shared" si="22"/>
        <v>235735.39960436549</v>
      </c>
      <c r="R71" s="812">
        <f t="shared" ref="R71:AA71" si="23">+R69-R61</f>
        <v>377356.73284227384</v>
      </c>
      <c r="S71" s="812">
        <f t="shared" si="23"/>
        <v>432715.31511287962</v>
      </c>
      <c r="T71" s="812">
        <f t="shared" si="23"/>
        <v>458366.45996382606</v>
      </c>
      <c r="U71" s="812">
        <f t="shared" si="23"/>
        <v>485300.16205731995</v>
      </c>
      <c r="V71" s="812">
        <f t="shared" si="23"/>
        <v>458069.77743710828</v>
      </c>
      <c r="W71" s="812">
        <f t="shared" si="23"/>
        <v>543274.95581356564</v>
      </c>
      <c r="X71" s="812">
        <f t="shared" si="23"/>
        <v>574454.08269954636</v>
      </c>
      <c r="Y71" s="812">
        <f t="shared" si="23"/>
        <v>607192.16592982609</v>
      </c>
      <c r="Z71" s="812">
        <f t="shared" si="23"/>
        <v>641567.15332162008</v>
      </c>
      <c r="AA71" s="813">
        <f t="shared" si="23"/>
        <v>1484204.9392245179</v>
      </c>
    </row>
    <row r="72" spans="1:27" s="171" customFormat="1" ht="15.75" thickBot="1">
      <c r="B72" s="727"/>
      <c r="C72" s="500" t="s">
        <v>61</v>
      </c>
      <c r="D72" s="886">
        <f>IFERROR(+IRR(E70:Q70),"très rentable")</f>
        <v>0.11958759472154706</v>
      </c>
      <c r="E72" s="232"/>
      <c r="F72" s="232"/>
      <c r="G72" s="232"/>
      <c r="H72" s="232"/>
      <c r="I72" s="232"/>
      <c r="J72" s="232"/>
      <c r="K72" s="232"/>
      <c r="L72" s="232"/>
      <c r="M72" s="232"/>
      <c r="N72" s="232"/>
      <c r="O72" s="232"/>
      <c r="P72" s="232"/>
      <c r="Q72" s="232"/>
      <c r="R72" s="232"/>
      <c r="S72" s="232"/>
      <c r="T72" s="232"/>
      <c r="U72" s="232"/>
      <c r="V72" s="232"/>
      <c r="W72" s="232"/>
      <c r="X72" s="232"/>
      <c r="Y72" s="232"/>
      <c r="Z72" s="232"/>
      <c r="AA72" s="232"/>
    </row>
    <row r="73" spans="1:27" ht="15.75" thickBot="1">
      <c r="B73" s="728"/>
      <c r="C73" s="721" t="s">
        <v>62</v>
      </c>
      <c r="D73" s="887">
        <f>IFERROR(+IRR(E71:AA71),"très rentable")</f>
        <v>0.16119116638559053</v>
      </c>
      <c r="E73" s="286"/>
      <c r="F73" s="987"/>
      <c r="G73" s="286"/>
      <c r="H73" s="286"/>
      <c r="I73" s="286"/>
      <c r="J73" s="286"/>
      <c r="K73" s="286"/>
      <c r="L73" s="286"/>
      <c r="M73" s="286"/>
      <c r="N73" s="286"/>
      <c r="O73" s="286"/>
      <c r="P73" s="286"/>
      <c r="Q73" s="286"/>
      <c r="R73" s="286"/>
      <c r="S73" s="286"/>
      <c r="T73" s="286"/>
      <c r="U73" s="286"/>
      <c r="V73" s="286"/>
      <c r="W73" s="286"/>
      <c r="X73" s="286"/>
      <c r="Y73" s="286"/>
      <c r="Z73" s="286"/>
      <c r="AA73" s="286"/>
    </row>
    <row r="74" spans="1:27" ht="15.75" thickBot="1">
      <c r="A74" s="40"/>
      <c r="B74" s="460"/>
      <c r="C74" s="461"/>
      <c r="D74" s="212"/>
      <c r="E74" s="95"/>
      <c r="F74" s="95"/>
      <c r="G74" s="95"/>
      <c r="H74" s="95"/>
      <c r="I74" s="95"/>
      <c r="J74" s="95"/>
      <c r="K74" s="95"/>
      <c r="L74" s="95"/>
      <c r="M74" s="95"/>
      <c r="N74" s="95"/>
      <c r="O74" s="95"/>
      <c r="P74" s="95"/>
      <c r="Q74" s="95"/>
      <c r="R74" s="95"/>
      <c r="S74" s="95"/>
      <c r="T74" s="95"/>
      <c r="U74" s="95"/>
      <c r="V74" s="95"/>
      <c r="W74" s="95"/>
      <c r="X74" s="95"/>
      <c r="Y74" s="95"/>
      <c r="Z74" s="95"/>
      <c r="AA74" s="95"/>
    </row>
    <row r="75" spans="1:27" ht="14.45" customHeight="1">
      <c r="B75" s="1374" t="s">
        <v>442</v>
      </c>
      <c r="C75" s="1375"/>
      <c r="D75" s="292"/>
      <c r="E75" s="286"/>
      <c r="F75" s="95"/>
      <c r="G75" s="286"/>
      <c r="H75" s="286"/>
      <c r="I75" s="286"/>
      <c r="J75" s="286"/>
      <c r="K75" s="286"/>
      <c r="L75" s="286"/>
      <c r="M75" s="286"/>
      <c r="N75" s="286"/>
      <c r="O75" s="286"/>
      <c r="P75" s="286"/>
      <c r="Q75" s="286"/>
      <c r="R75" s="286"/>
      <c r="S75" s="286"/>
      <c r="T75" s="286"/>
      <c r="U75" s="286"/>
      <c r="V75" s="286"/>
      <c r="W75" s="286"/>
      <c r="X75" s="286"/>
      <c r="Y75" s="286"/>
      <c r="Z75" s="286"/>
      <c r="AA75" s="286"/>
    </row>
    <row r="76" spans="1:27" ht="15">
      <c r="B76" s="1376"/>
      <c r="C76" s="1377"/>
      <c r="D76" s="292"/>
      <c r="E76" s="286"/>
      <c r="F76" s="95"/>
      <c r="G76" s="286"/>
      <c r="H76" s="286"/>
      <c r="I76" s="286"/>
      <c r="J76" s="286"/>
      <c r="K76" s="286"/>
      <c r="L76" s="286"/>
      <c r="M76" s="286"/>
      <c r="N76" s="286"/>
      <c r="O76" s="286"/>
      <c r="P76" s="286"/>
      <c r="Q76" s="286"/>
      <c r="R76" s="286"/>
      <c r="S76" s="286"/>
      <c r="T76" s="286"/>
      <c r="U76" s="286"/>
      <c r="V76" s="286"/>
      <c r="W76" s="286"/>
      <c r="X76" s="286"/>
      <c r="Y76" s="286"/>
      <c r="Z76" s="286"/>
      <c r="AA76" s="286"/>
    </row>
    <row r="77" spans="1:27" ht="15">
      <c r="B77" s="1376"/>
      <c r="C77" s="1377"/>
      <c r="D77" s="292"/>
      <c r="E77" s="286"/>
      <c r="F77" s="95"/>
      <c r="G77" s="286"/>
      <c r="H77" s="286"/>
      <c r="I77" s="286"/>
      <c r="J77" s="286"/>
      <c r="K77" s="286"/>
      <c r="L77" s="286"/>
      <c r="M77" s="286"/>
      <c r="N77" s="286"/>
      <c r="O77" s="286"/>
      <c r="P77" s="286"/>
      <c r="Q77" s="286"/>
      <c r="R77" s="286"/>
      <c r="S77" s="286"/>
      <c r="T77" s="286"/>
      <c r="U77" s="286"/>
      <c r="V77" s="286"/>
      <c r="W77" s="286"/>
      <c r="X77" s="286"/>
      <c r="Y77" s="286"/>
      <c r="Z77" s="286"/>
      <c r="AA77" s="286"/>
    </row>
    <row r="78" spans="1:27" ht="15.75" thickBot="1">
      <c r="B78" s="1376"/>
      <c r="C78" s="1377"/>
      <c r="D78" s="292"/>
      <c r="E78" s="286"/>
      <c r="F78" s="286"/>
      <c r="G78" s="286"/>
      <c r="H78" s="286"/>
      <c r="I78" s="286"/>
      <c r="J78" s="286"/>
      <c r="K78" s="286"/>
      <c r="L78" s="286"/>
      <c r="M78" s="286"/>
      <c r="N78" s="286"/>
      <c r="O78" s="286"/>
      <c r="P78" s="286"/>
      <c r="Q78" s="286"/>
      <c r="R78" s="286"/>
      <c r="S78" s="286"/>
      <c r="T78" s="286"/>
      <c r="U78" s="286"/>
      <c r="V78" s="286"/>
      <c r="W78" s="286"/>
      <c r="X78" s="286"/>
      <c r="Y78" s="286"/>
      <c r="Z78" s="286"/>
      <c r="AA78" s="286"/>
    </row>
    <row r="79" spans="1:27" ht="15.75" thickBot="1">
      <c r="B79" s="1450"/>
      <c r="C79" s="1451"/>
      <c r="D79" s="710"/>
      <c r="E79" s="291">
        <v>2020</v>
      </c>
      <c r="F79" s="291">
        <f>+E79+1</f>
        <v>2021</v>
      </c>
      <c r="G79" s="291">
        <v>2022</v>
      </c>
      <c r="H79" s="291">
        <f>+G79+1</f>
        <v>2023</v>
      </c>
      <c r="I79" s="291">
        <f t="shared" ref="I79:AA79" si="24">+H79+1</f>
        <v>2024</v>
      </c>
      <c r="J79" s="291">
        <f t="shared" si="24"/>
        <v>2025</v>
      </c>
      <c r="K79" s="291">
        <f t="shared" si="24"/>
        <v>2026</v>
      </c>
      <c r="L79" s="291">
        <f>+K79+1</f>
        <v>2027</v>
      </c>
      <c r="M79" s="291">
        <f t="shared" si="24"/>
        <v>2028</v>
      </c>
      <c r="N79" s="291">
        <f t="shared" si="24"/>
        <v>2029</v>
      </c>
      <c r="O79" s="291">
        <f t="shared" si="24"/>
        <v>2030</v>
      </c>
      <c r="P79" s="291">
        <f t="shared" si="24"/>
        <v>2031</v>
      </c>
      <c r="Q79" s="291">
        <f t="shared" si="24"/>
        <v>2032</v>
      </c>
      <c r="R79" s="462">
        <f t="shared" si="24"/>
        <v>2033</v>
      </c>
      <c r="S79" s="462">
        <f t="shared" si="24"/>
        <v>2034</v>
      </c>
      <c r="T79" s="462">
        <f t="shared" si="24"/>
        <v>2035</v>
      </c>
      <c r="U79" s="462">
        <f t="shared" si="24"/>
        <v>2036</v>
      </c>
      <c r="V79" s="462">
        <f t="shared" si="24"/>
        <v>2037</v>
      </c>
      <c r="W79" s="462">
        <f t="shared" si="24"/>
        <v>2038</v>
      </c>
      <c r="X79" s="462">
        <f t="shared" si="24"/>
        <v>2039</v>
      </c>
      <c r="Y79" s="462">
        <f t="shared" si="24"/>
        <v>2040</v>
      </c>
      <c r="Z79" s="462">
        <f t="shared" si="24"/>
        <v>2041</v>
      </c>
      <c r="AA79" s="463">
        <f t="shared" si="24"/>
        <v>2042</v>
      </c>
    </row>
    <row r="80" spans="1:27" ht="15">
      <c r="B80" s="711" t="s">
        <v>323</v>
      </c>
      <c r="C80" s="712"/>
      <c r="D80" s="713"/>
      <c r="E80" s="337">
        <f t="shared" ref="E80:Q80" si="25">+E60</f>
        <v>317907.20583930332</v>
      </c>
      <c r="F80" s="337">
        <f t="shared" si="25"/>
        <v>791376.2650235797</v>
      </c>
      <c r="G80" s="337">
        <f t="shared" si="25"/>
        <v>229176.22757128548</v>
      </c>
      <c r="H80" s="337">
        <f t="shared" si="25"/>
        <v>0</v>
      </c>
      <c r="I80" s="337">
        <f t="shared" si="25"/>
        <v>30928.920507799652</v>
      </c>
      <c r="J80" s="337">
        <f t="shared" si="25"/>
        <v>30928.920507799652</v>
      </c>
      <c r="K80" s="337">
        <f t="shared" si="25"/>
        <v>30928.920507799652</v>
      </c>
      <c r="L80" s="337">
        <f t="shared" si="25"/>
        <v>72234.148029076954</v>
      </c>
      <c r="M80" s="337">
        <f t="shared" si="25"/>
        <v>30928.920507799652</v>
      </c>
      <c r="N80" s="337">
        <f t="shared" si="25"/>
        <v>30928.920507799652</v>
      </c>
      <c r="O80" s="337">
        <f t="shared" si="25"/>
        <v>30928.920507799652</v>
      </c>
      <c r="P80" s="337">
        <f t="shared" si="25"/>
        <v>30928.920507799652</v>
      </c>
      <c r="Q80" s="367">
        <f t="shared" si="25"/>
        <v>30928.920507799652</v>
      </c>
      <c r="R80" s="715"/>
      <c r="S80" s="209"/>
      <c r="T80" s="209"/>
      <c r="U80" s="209"/>
      <c r="V80" s="209"/>
      <c r="W80" s="209"/>
      <c r="X80" s="209"/>
      <c r="Y80" s="209"/>
      <c r="Z80" s="209"/>
      <c r="AA80" s="497"/>
    </row>
    <row r="81" spans="2:27" ht="15">
      <c r="B81" s="1456" t="s">
        <v>138</v>
      </c>
      <c r="C81" s="1457"/>
      <c r="D81" s="302"/>
      <c r="E81" s="82">
        <f>+E70/(1+'3-DONNEES DE BASE'!$E100)^0</f>
        <v>-260003.14829467281</v>
      </c>
      <c r="F81" s="82">
        <f>+F70/(1+'3-DONNEES DE BASE'!$E100)^1</f>
        <v>-623580.35477918957</v>
      </c>
      <c r="G81" s="82">
        <f>+G70/(1+'3-DONNEES DE BASE'!$E100)^2</f>
        <v>-190141.10157701414</v>
      </c>
      <c r="H81" s="82">
        <f>+H70/(1+'3-DONNEES DE BASE'!$E100)^3</f>
        <v>32270.120614544991</v>
      </c>
      <c r="I81" s="82">
        <f>+I70/(1+'3-DONNEES DE BASE'!$E100)^24</f>
        <v>15197.80165046312</v>
      </c>
      <c r="J81" s="82">
        <f>+J70/(1+'3-DONNEES DE BASE'!$E100)^5</f>
        <v>80011.000929219677</v>
      </c>
      <c r="K81" s="82">
        <f>+K70/(1+'3-DONNEES DE BASE'!$E100)^6</f>
        <v>125718.29285993111</v>
      </c>
      <c r="L81" s="82">
        <f>+L70/(1+'3-DONNEES DE BASE'!$E100)^7</f>
        <v>139492.75565989016</v>
      </c>
      <c r="M81" s="82">
        <f>+M70/(1+'3-DONNEES DE BASE'!$E100)^8</f>
        <v>174925.26900857675</v>
      </c>
      <c r="N81" s="82">
        <f>+N70/(1+'3-DONNEES DE BASE'!$E100)^9</f>
        <v>180628.78347670304</v>
      </c>
      <c r="O81" s="82">
        <f>+O70/(1+'3-DONNEES DE BASE'!$E100)^10</f>
        <v>185980.00440235177</v>
      </c>
      <c r="P81" s="82">
        <f>+P70/(1+'3-DONNEES DE BASE'!$E100)^11</f>
        <v>190999.5504120893</v>
      </c>
      <c r="Q81" s="397">
        <f>+Q70/(1+'3-DONNEES DE BASE'!$E100)^12</f>
        <v>698445.16441810352</v>
      </c>
      <c r="R81" s="716"/>
      <c r="S81" s="295"/>
      <c r="T81" s="295"/>
      <c r="U81" s="295"/>
      <c r="V81" s="295"/>
      <c r="W81" s="295"/>
      <c r="X81" s="295"/>
      <c r="Y81" s="295"/>
      <c r="Z81" s="295"/>
      <c r="AA81" s="513"/>
    </row>
    <row r="82" spans="2:27" ht="15">
      <c r="B82" s="1456" t="s">
        <v>139</v>
      </c>
      <c r="C82" s="1457"/>
      <c r="D82" s="302"/>
      <c r="E82" s="82">
        <f>+E81</f>
        <v>-260003.14829467281</v>
      </c>
      <c r="F82" s="82">
        <f>+F81+E82</f>
        <v>-883583.5030738624</v>
      </c>
      <c r="G82" s="82">
        <f t="shared" ref="G82:Q82" si="26">+G81+F82</f>
        <v>-1073724.6046508765</v>
      </c>
      <c r="H82" s="82">
        <f t="shared" si="26"/>
        <v>-1041454.4840363315</v>
      </c>
      <c r="I82" s="82">
        <f t="shared" si="26"/>
        <v>-1026256.6823858684</v>
      </c>
      <c r="J82" s="82">
        <f t="shared" si="26"/>
        <v>-946245.68145664874</v>
      </c>
      <c r="K82" s="82">
        <f t="shared" si="26"/>
        <v>-820527.38859671762</v>
      </c>
      <c r="L82" s="82">
        <f t="shared" si="26"/>
        <v>-681034.63293682749</v>
      </c>
      <c r="M82" s="82">
        <f t="shared" si="26"/>
        <v>-506109.36392825074</v>
      </c>
      <c r="N82" s="82">
        <f t="shared" si="26"/>
        <v>-325480.58045154769</v>
      </c>
      <c r="O82" s="82">
        <f t="shared" si="26"/>
        <v>-139500.57604919592</v>
      </c>
      <c r="P82" s="82">
        <f t="shared" si="26"/>
        <v>51498.974362893379</v>
      </c>
      <c r="Q82" s="397">
        <f t="shared" si="26"/>
        <v>749944.1387809969</v>
      </c>
      <c r="R82" s="716"/>
      <c r="S82" s="295"/>
      <c r="T82" s="295"/>
      <c r="U82" s="295"/>
      <c r="V82" s="295"/>
      <c r="W82" s="295"/>
      <c r="X82" s="295"/>
      <c r="Y82" s="295"/>
      <c r="Z82" s="295"/>
      <c r="AA82" s="513"/>
    </row>
    <row r="83" spans="2:27" ht="28.5" customHeight="1" thickBot="1">
      <c r="B83" s="1452" t="s">
        <v>156</v>
      </c>
      <c r="C83" s="1453"/>
      <c r="D83" s="714"/>
      <c r="E83" s="298">
        <f>+IF(E82&gt;0,"DRCI",'8-Calcul de base SANS TVA'!E81+'8-Calcul de base SANS TVA'!D82)</f>
        <v>-260003.14829467281</v>
      </c>
      <c r="F83" s="298">
        <f>+IF(F82&gt;0,"DRCI",'8-Calcul de base SANS TVA'!F81+'8-Calcul de base SANS TVA'!E82)</f>
        <v>-883583.5030738624</v>
      </c>
      <c r="G83" s="298">
        <f>+IF(G82&gt;0,"DRCI",'8-Calcul de base SANS TVA'!G81+'8-Calcul de base SANS TVA'!F82)</f>
        <v>-1073724.6046508765</v>
      </c>
      <c r="H83" s="298">
        <f>+IF(H82&gt;0,"DRCI",'8-Calcul de base SANS TVA'!H81+'8-Calcul de base SANS TVA'!G82)</f>
        <v>-1041454.4840363315</v>
      </c>
      <c r="I83" s="298">
        <f>+IF(I82&gt;0,"DRCI",'8-Calcul de base SANS TVA'!I81+'8-Calcul de base SANS TVA'!H82)</f>
        <v>-1026256.6823858684</v>
      </c>
      <c r="J83" s="298">
        <f>+IF(J82&gt;0,"DRCI",'8-Calcul de base SANS TVA'!J81+'8-Calcul de base SANS TVA'!I82)</f>
        <v>-946245.68145664874</v>
      </c>
      <c r="K83" s="298">
        <f>+IF(K82&gt;0,"DRCI",'8-Calcul de base SANS TVA'!K81+'8-Calcul de base SANS TVA'!J82)</f>
        <v>-820527.38859671762</v>
      </c>
      <c r="L83" s="298">
        <f>+IF(L82&gt;0,"DRCI",'8-Calcul de base SANS TVA'!L81+'8-Calcul de base SANS TVA'!K82)</f>
        <v>-681034.63293682749</v>
      </c>
      <c r="M83" s="298">
        <f>+IF(M82&gt;0,"DRCI",'8-Calcul de base SANS TVA'!M81+'8-Calcul de base SANS TVA'!L82)</f>
        <v>-506109.36392825074</v>
      </c>
      <c r="N83" s="298">
        <f>+IF(N82&gt;0,"DRCI",'8-Calcul de base SANS TVA'!N81+'8-Calcul de base SANS TVA'!M82)</f>
        <v>-325480.58045154769</v>
      </c>
      <c r="O83" s="298">
        <f>+IF(O82&gt;0,"DRCI",'8-Calcul de base SANS TVA'!O81+'8-Calcul de base SANS TVA'!N82)</f>
        <v>-139500.57604919592</v>
      </c>
      <c r="P83" s="298" t="str">
        <f>+IF(P82&gt;0,"DRCI",'8-Calcul de base SANS TVA'!P81+'8-Calcul de base SANS TVA'!O82)</f>
        <v>DRCI</v>
      </c>
      <c r="Q83" s="210" t="str">
        <f>+IF(Q82&gt;0,"DRCI",'8-Calcul de base SANS TVA'!Q81+'8-Calcul de base SANS TVA'!P82)</f>
        <v>DRCI</v>
      </c>
      <c r="R83" s="717"/>
      <c r="S83" s="211"/>
      <c r="T83" s="211"/>
      <c r="U83" s="211"/>
      <c r="V83" s="211"/>
      <c r="W83" s="211"/>
      <c r="X83" s="211"/>
      <c r="Y83" s="211"/>
      <c r="Z83" s="211"/>
      <c r="AA83" s="369"/>
    </row>
    <row r="84" spans="2:27" ht="15.75" thickBot="1">
      <c r="B84" s="1458" t="s">
        <v>140</v>
      </c>
      <c r="C84" s="1459"/>
      <c r="D84" s="389"/>
      <c r="E84" s="211">
        <f>+E71/(1+'3-DONNEES DE BASE'!$E100)^0</f>
        <v>-260003.14829467281</v>
      </c>
      <c r="F84" s="211">
        <f>+F71/(1+'3-DONNEES DE BASE'!$E100)^1</f>
        <v>-623580.35477918957</v>
      </c>
      <c r="G84" s="211">
        <f>+G71/(1+'3-DONNEES DE BASE'!$E100)^2</f>
        <v>-190141.10157701414</v>
      </c>
      <c r="H84" s="211">
        <f>+H71/(1+'3-DONNEES DE BASE'!$E100)^3</f>
        <v>32270.120614544991</v>
      </c>
      <c r="I84" s="211">
        <f>+I71/(1+'3-DONNEES DE BASE'!$E100)^4</f>
        <v>40324.292242413881</v>
      </c>
      <c r="J84" s="211">
        <f>+J71/(1+'3-DONNEES DE BASE'!$E100)^5</f>
        <v>80011.000929219677</v>
      </c>
      <c r="K84" s="211">
        <f>+K71/(1+'3-DONNEES DE BASE'!$E100)^6</f>
        <v>125718.29285993111</v>
      </c>
      <c r="L84" s="211">
        <f>+L71/(1+'3-DONNEES DE BASE'!$E100)^7</f>
        <v>139492.75565989016</v>
      </c>
      <c r="M84" s="211">
        <f>+M71/(1+'3-DONNEES DE BASE'!$E100)^8</f>
        <v>174925.26900857675</v>
      </c>
      <c r="N84" s="211">
        <f>+N71/(1+'3-DONNEES DE BASE'!$E100)^9</f>
        <v>180628.78347670304</v>
      </c>
      <c r="O84" s="211">
        <f>+O71/(1+'3-DONNEES DE BASE'!$E100)^10</f>
        <v>185980.00440235177</v>
      </c>
      <c r="P84" s="211">
        <f>+P71/(1+'3-DONNEES DE BASE'!$E100)^11</f>
        <v>190999.5504120893</v>
      </c>
      <c r="Q84" s="211">
        <f>+Q71/(1+'3-DONNEES DE BASE'!$E100)^12</f>
        <v>131266.29128875016</v>
      </c>
      <c r="R84" s="82">
        <f>+R71/(1+'3-DONNEES DE BASE'!$E100)^13</f>
        <v>200120.33223601029</v>
      </c>
      <c r="S84" s="82">
        <f>+S71/(1+'3-DONNEES DE BASE'!$E100)^14</f>
        <v>218550.63843387301</v>
      </c>
      <c r="T84" s="82">
        <f>+T71/(1+'3-DONNEES DE BASE'!$E100)^15</f>
        <v>220482.10443403048</v>
      </c>
      <c r="U84" s="82">
        <f>+U71/(1+'3-DONNEES DE BASE'!$E100)^16</f>
        <v>222321.59586275203</v>
      </c>
      <c r="V84" s="82">
        <f>+V71/(1+'3-DONNEES DE BASE'!$E100)^17</f>
        <v>199854.32659045295</v>
      </c>
      <c r="W84" s="82">
        <f>+W71/(1+'3-DONNEES DE BASE'!$E100)^18</f>
        <v>225741.96541275576</v>
      </c>
      <c r="X84" s="82">
        <f>+X71/(1+'3-DONNEES DE BASE'!$E100)^19</f>
        <v>227330.98727106172</v>
      </c>
      <c r="Y84" s="82">
        <f>+Y71/(1+'3-DONNEES DE BASE'!$E100)^20</f>
        <v>228844.34142182933</v>
      </c>
      <c r="Z84" s="82">
        <f>+Z71/(1+'3-DONNEES DE BASE'!$E100)^21</f>
        <v>230285.63108922713</v>
      </c>
      <c r="AA84" s="397">
        <f>+AA71/(1+'3-DONNEES DE BASE'!$E100)^22</f>
        <v>507375.26714002894</v>
      </c>
    </row>
    <row r="85" spans="2:27" ht="15.75" thickBot="1">
      <c r="B85" s="1460" t="s">
        <v>141</v>
      </c>
      <c r="C85" s="1461"/>
      <c r="D85" s="882"/>
      <c r="E85" s="82">
        <f>+E84+D85</f>
        <v>-260003.14829467281</v>
      </c>
      <c r="F85" s="82">
        <f t="shared" ref="F85:AA85" si="27">+F84+E85</f>
        <v>-883583.5030738624</v>
      </c>
      <c r="G85" s="82">
        <f t="shared" si="27"/>
        <v>-1073724.6046508765</v>
      </c>
      <c r="H85" s="82">
        <f t="shared" si="27"/>
        <v>-1041454.4840363315</v>
      </c>
      <c r="I85" s="82">
        <f t="shared" si="27"/>
        <v>-1001130.1917939177</v>
      </c>
      <c r="J85" s="82">
        <f t="shared" si="27"/>
        <v>-921119.19086469803</v>
      </c>
      <c r="K85" s="82">
        <f t="shared" si="27"/>
        <v>-795400.8980047669</v>
      </c>
      <c r="L85" s="82">
        <f t="shared" si="27"/>
        <v>-655908.14234487677</v>
      </c>
      <c r="M85" s="82">
        <f t="shared" si="27"/>
        <v>-480982.87333630002</v>
      </c>
      <c r="N85" s="82">
        <f t="shared" si="27"/>
        <v>-300354.08985959698</v>
      </c>
      <c r="O85" s="82">
        <f t="shared" si="27"/>
        <v>-114374.08545724521</v>
      </c>
      <c r="P85" s="82">
        <f t="shared" si="27"/>
        <v>76625.464954844094</v>
      </c>
      <c r="Q85" s="82">
        <f t="shared" si="27"/>
        <v>207891.75624359425</v>
      </c>
      <c r="R85" s="82">
        <f t="shared" si="27"/>
        <v>408012.08847960457</v>
      </c>
      <c r="S85" s="82">
        <f t="shared" si="27"/>
        <v>626562.72691347753</v>
      </c>
      <c r="T85" s="82">
        <f t="shared" si="27"/>
        <v>847044.83134750801</v>
      </c>
      <c r="U85" s="82">
        <f t="shared" si="27"/>
        <v>1069366.4272102599</v>
      </c>
      <c r="V85" s="82">
        <f t="shared" si="27"/>
        <v>1269220.753800713</v>
      </c>
      <c r="W85" s="82">
        <f t="shared" si="27"/>
        <v>1494962.7192134687</v>
      </c>
      <c r="X85" s="82">
        <f t="shared" si="27"/>
        <v>1722293.7064845304</v>
      </c>
      <c r="Y85" s="82">
        <f t="shared" si="27"/>
        <v>1951138.0479063597</v>
      </c>
      <c r="Z85" s="82">
        <f t="shared" si="27"/>
        <v>2181423.6789955869</v>
      </c>
      <c r="AA85" s="397">
        <f t="shared" si="27"/>
        <v>2688798.9461356159</v>
      </c>
    </row>
    <row r="86" spans="2:27" s="116" customFormat="1" ht="29.1" customHeight="1" thickBot="1">
      <c r="B86" s="1454" t="s">
        <v>155</v>
      </c>
      <c r="C86" s="1455"/>
      <c r="D86" s="464"/>
      <c r="E86" s="371">
        <f>+IF(E85&gt;0,"DRCI",'8-Calcul de base SANS TVA'!E84+'8-Calcul de base SANS TVA'!D85)</f>
        <v>-260003.14829467281</v>
      </c>
      <c r="F86" s="371">
        <f>+IF(F85&gt;0,"DRCI",'8-Calcul de base SANS TVA'!F84+'8-Calcul de base SANS TVA'!E85)</f>
        <v>-883583.5030738624</v>
      </c>
      <c r="G86" s="371">
        <f>+IF(G85&gt;0,"DRCI",'8-Calcul de base SANS TVA'!G84+'8-Calcul de base SANS TVA'!F85)</f>
        <v>-1073724.6046508765</v>
      </c>
      <c r="H86" s="371">
        <f>+IF(H85&gt;0,"DRCI",'8-Calcul de base SANS TVA'!H84+'8-Calcul de base SANS TVA'!G85)</f>
        <v>-1041454.4840363315</v>
      </c>
      <c r="I86" s="371">
        <f>+IF(I85&gt;0,"DRCI",'8-Calcul de base SANS TVA'!I84+'8-Calcul de base SANS TVA'!H85)</f>
        <v>-1001130.1917939177</v>
      </c>
      <c r="J86" s="371">
        <f>+IF(J85&gt;0,"DRCI",'8-Calcul de base SANS TVA'!J84+'8-Calcul de base SANS TVA'!I85)</f>
        <v>-921119.19086469803</v>
      </c>
      <c r="K86" s="371">
        <f>+IF(K85&gt;0,"DRCI",'8-Calcul de base SANS TVA'!K84+'8-Calcul de base SANS TVA'!J85)</f>
        <v>-795400.8980047669</v>
      </c>
      <c r="L86" s="371">
        <f>+IF(L85&gt;0,"DRCI",'8-Calcul de base SANS TVA'!L84+'8-Calcul de base SANS TVA'!K85)</f>
        <v>-655908.14234487677</v>
      </c>
      <c r="M86" s="371">
        <f>+IF(M85&gt;0,"DRCI",'8-Calcul de base SANS TVA'!M84+'8-Calcul de base SANS TVA'!L85)</f>
        <v>-480982.87333630002</v>
      </c>
      <c r="N86" s="371">
        <f>+IF(N85&gt;0,"DRCI",'8-Calcul de base SANS TVA'!N84+'8-Calcul de base SANS TVA'!M85)</f>
        <v>-300354.08985959698</v>
      </c>
      <c r="O86" s="371">
        <f>+IF(O85&gt;0,"DRCI",'8-Calcul de base SANS TVA'!O84+'8-Calcul de base SANS TVA'!N85)</f>
        <v>-114374.08545724521</v>
      </c>
      <c r="P86" s="371" t="str">
        <f>+IF(P85&gt;0,"DRCI",'8-Calcul de base SANS TVA'!P84+'8-Calcul de base SANS TVA'!O85)</f>
        <v>DRCI</v>
      </c>
      <c r="Q86" s="465" t="str">
        <f>+IF(Q85&gt;0,"DRCI",'8-Calcul de base SANS TVA'!Q84+'8-Calcul de base SANS TVA'!P85)</f>
        <v>DRCI</v>
      </c>
      <c r="R86" s="371" t="str">
        <f>+IF(R85&gt;0,"DRCI",'8-Calcul de base SANS TVA'!R84+'8-Calcul de base SANS TVA'!Q85)</f>
        <v>DRCI</v>
      </c>
      <c r="S86" s="371" t="str">
        <f>+IF(S85&gt;0,"DRCI",'8-Calcul de base SANS TVA'!S84+'8-Calcul de base SANS TVA'!R85)</f>
        <v>DRCI</v>
      </c>
      <c r="T86" s="371" t="str">
        <f>+IF(T85&gt;0,"DRCI",'8-Calcul de base SANS TVA'!T84+'8-Calcul de base SANS TVA'!S85)</f>
        <v>DRCI</v>
      </c>
      <c r="U86" s="371" t="str">
        <f>+IF(U85&gt;0,"DRCI",'8-Calcul de base SANS TVA'!U84+'8-Calcul de base SANS TVA'!T85)</f>
        <v>DRCI</v>
      </c>
      <c r="V86" s="371" t="str">
        <f>+IF(V85&gt;0,"DRCI",'8-Calcul de base SANS TVA'!V84+'8-Calcul de base SANS TVA'!U85)</f>
        <v>DRCI</v>
      </c>
      <c r="W86" s="371" t="str">
        <f>+IF(W85&gt;0,"DRCI",'8-Calcul de base SANS TVA'!W84+'8-Calcul de base SANS TVA'!V85)</f>
        <v>DRCI</v>
      </c>
      <c r="X86" s="371" t="str">
        <f>+IF(X85&gt;0,"DRCI",'8-Calcul de base SANS TVA'!X84+'8-Calcul de base SANS TVA'!W85)</f>
        <v>DRCI</v>
      </c>
      <c r="Y86" s="371" t="str">
        <f>+IF(Y85&gt;0,"DRCI",'8-Calcul de base SANS TVA'!Y84+'8-Calcul de base SANS TVA'!X85)</f>
        <v>DRCI</v>
      </c>
      <c r="Z86" s="371" t="str">
        <f>+IF(Z85&gt;0,"DRCI",'8-Calcul de base SANS TVA'!Z84+'8-Calcul de base SANS TVA'!Y85)</f>
        <v>DRCI</v>
      </c>
      <c r="AA86" s="372" t="str">
        <f>+IF(AA85&gt;0,"DRCI",'8-Calcul de base SANS TVA'!AA84+'8-Calcul de base SANS TVA'!Z85)</f>
        <v>DRCI</v>
      </c>
    </row>
    <row r="87" spans="2:27" ht="15">
      <c r="B87" s="178"/>
      <c r="C87" s="181"/>
      <c r="D87" s="181"/>
      <c r="E87" s="181"/>
      <c r="F87" s="181"/>
      <c r="G87" s="181"/>
      <c r="H87" s="181"/>
      <c r="I87" s="181"/>
      <c r="J87" s="181"/>
      <c r="K87" s="181"/>
      <c r="L87" s="181"/>
      <c r="M87" s="181"/>
      <c r="N87" s="181"/>
      <c r="O87" s="181"/>
      <c r="P87" s="181"/>
      <c r="Q87" s="181"/>
      <c r="R87" s="181"/>
      <c r="S87" s="181"/>
      <c r="T87" s="181"/>
      <c r="U87" s="181"/>
      <c r="V87" s="181"/>
      <c r="W87" s="181"/>
      <c r="X87" s="181"/>
      <c r="Y87" s="181"/>
      <c r="Z87" s="181"/>
      <c r="AA87" s="181"/>
    </row>
    <row r="88" spans="2:27" ht="15">
      <c r="B88" s="178"/>
      <c r="C88" s="181"/>
      <c r="D88" s="181"/>
      <c r="E88" s="181"/>
      <c r="F88" s="181"/>
      <c r="G88" s="181"/>
      <c r="H88" s="181"/>
      <c r="I88" s="181"/>
      <c r="J88" s="181"/>
      <c r="K88" s="181"/>
      <c r="L88" s="181"/>
      <c r="M88" s="181"/>
      <c r="N88" s="181"/>
      <c r="O88" s="181"/>
      <c r="P88" s="181"/>
      <c r="Q88" s="181"/>
      <c r="R88" s="181"/>
      <c r="S88" s="181"/>
      <c r="T88" s="181"/>
      <c r="U88" s="181"/>
      <c r="V88" s="181"/>
      <c r="W88" s="181"/>
      <c r="X88" s="181"/>
      <c r="Y88" s="181"/>
      <c r="Z88" s="181"/>
      <c r="AA88" s="181"/>
    </row>
    <row r="89" spans="2:27" ht="15">
      <c r="B89" s="178"/>
      <c r="C89" s="181"/>
      <c r="D89" s="181"/>
      <c r="E89" s="181"/>
      <c r="F89" s="181"/>
      <c r="G89" s="181"/>
      <c r="H89" s="181"/>
      <c r="I89" s="181"/>
      <c r="J89" s="181"/>
      <c r="K89" s="181"/>
      <c r="L89" s="181"/>
      <c r="M89" s="181"/>
      <c r="N89" s="181"/>
      <c r="O89" s="181"/>
      <c r="P89" s="181"/>
      <c r="Q89" s="181"/>
      <c r="R89" s="181"/>
      <c r="S89" s="181"/>
      <c r="T89" s="181"/>
      <c r="U89" s="181"/>
      <c r="V89" s="181"/>
      <c r="W89" s="181"/>
      <c r="X89" s="181"/>
      <c r="Y89" s="181"/>
      <c r="Z89" s="181"/>
      <c r="AA89" s="181"/>
    </row>
    <row r="90" spans="2:27" ht="15">
      <c r="B90" s="178"/>
      <c r="C90" s="181"/>
      <c r="D90" s="181"/>
      <c r="E90" s="181"/>
      <c r="F90" s="181"/>
      <c r="G90" s="181"/>
      <c r="H90" s="181"/>
      <c r="I90" s="181"/>
      <c r="J90" s="181"/>
      <c r="K90" s="181"/>
      <c r="L90" s="181"/>
      <c r="M90" s="181"/>
      <c r="N90" s="181"/>
      <c r="O90" s="181"/>
      <c r="P90" s="181"/>
      <c r="Q90" s="181"/>
      <c r="R90" s="181"/>
      <c r="S90" s="181"/>
      <c r="T90" s="181"/>
      <c r="U90" s="181"/>
      <c r="V90" s="181"/>
      <c r="W90" s="181"/>
      <c r="X90" s="181"/>
      <c r="Y90" s="181"/>
      <c r="Z90" s="181"/>
      <c r="AA90" s="181"/>
    </row>
    <row r="91" spans="2:27" ht="15">
      <c r="B91" s="178"/>
      <c r="C91" s="181"/>
      <c r="D91" s="181"/>
      <c r="E91" s="181"/>
      <c r="F91" s="181"/>
      <c r="G91" s="181"/>
      <c r="H91" s="181"/>
      <c r="I91" s="181"/>
      <c r="J91" s="181"/>
      <c r="K91" s="181"/>
      <c r="L91" s="181"/>
      <c r="M91" s="181"/>
      <c r="N91" s="181"/>
      <c r="O91" s="181"/>
      <c r="P91" s="181"/>
      <c r="Q91" s="181"/>
      <c r="R91" s="181"/>
      <c r="S91" s="181"/>
      <c r="T91" s="181"/>
      <c r="U91" s="181"/>
      <c r="V91" s="181"/>
      <c r="W91" s="181"/>
      <c r="X91" s="181"/>
      <c r="Y91" s="181"/>
      <c r="Z91" s="181"/>
      <c r="AA91" s="181"/>
    </row>
    <row r="92" spans="2:27" ht="15">
      <c r="B92" s="178"/>
      <c r="C92" s="181"/>
      <c r="D92" s="181"/>
      <c r="E92" s="181"/>
      <c r="F92" s="181"/>
      <c r="G92" s="181"/>
      <c r="H92" s="181"/>
      <c r="I92" s="181"/>
      <c r="J92" s="181"/>
      <c r="K92" s="181"/>
      <c r="L92" s="181"/>
      <c r="M92" s="181"/>
      <c r="N92" s="181"/>
      <c r="O92" s="181"/>
      <c r="P92" s="181"/>
      <c r="Q92" s="181"/>
      <c r="R92" s="181"/>
      <c r="S92" s="181"/>
      <c r="T92" s="181"/>
      <c r="U92" s="181"/>
      <c r="V92" s="181"/>
      <c r="W92" s="181"/>
      <c r="X92" s="181"/>
      <c r="Y92" s="181"/>
      <c r="Z92" s="181"/>
      <c r="AA92" s="181"/>
    </row>
    <row r="93" spans="2:27" ht="15">
      <c r="B93" s="178"/>
      <c r="C93" s="181"/>
      <c r="D93" s="181"/>
      <c r="E93" s="181"/>
      <c r="F93" s="181"/>
      <c r="G93" s="181"/>
      <c r="H93" s="181"/>
      <c r="I93" s="181"/>
      <c r="J93" s="181"/>
      <c r="K93" s="181"/>
      <c r="L93" s="181"/>
      <c r="M93" s="181"/>
      <c r="N93" s="181"/>
      <c r="O93" s="181"/>
      <c r="P93" s="181"/>
      <c r="Q93" s="181"/>
      <c r="R93" s="181"/>
      <c r="S93" s="181"/>
      <c r="T93" s="181"/>
      <c r="U93" s="181"/>
      <c r="V93" s="181"/>
      <c r="W93" s="181"/>
      <c r="X93" s="181"/>
      <c r="Y93" s="181"/>
      <c r="Z93" s="181"/>
      <c r="AA93" s="181"/>
    </row>
    <row r="94" spans="2:27" ht="15">
      <c r="B94" s="178"/>
      <c r="C94" s="181"/>
      <c r="D94" s="181"/>
      <c r="E94" s="181"/>
      <c r="F94" s="181"/>
      <c r="G94" s="181"/>
      <c r="H94" s="181"/>
      <c r="I94" s="181"/>
      <c r="J94" s="181"/>
      <c r="K94" s="181"/>
      <c r="L94" s="181"/>
      <c r="M94" s="181"/>
      <c r="N94" s="181"/>
      <c r="O94" s="181"/>
      <c r="P94" s="181"/>
      <c r="Q94" s="181"/>
      <c r="R94" s="181"/>
      <c r="S94" s="181"/>
      <c r="T94" s="181"/>
      <c r="U94" s="181"/>
      <c r="V94" s="181"/>
      <c r="W94" s="181"/>
      <c r="X94" s="181"/>
      <c r="Y94" s="181"/>
      <c r="Z94" s="181"/>
      <c r="AA94" s="181"/>
    </row>
    <row r="95" spans="2:27" ht="15">
      <c r="B95" s="178"/>
      <c r="C95" s="181"/>
      <c r="D95" s="181"/>
      <c r="E95" s="181"/>
      <c r="F95" s="181"/>
      <c r="G95" s="181"/>
      <c r="H95" s="181"/>
      <c r="I95" s="181"/>
      <c r="J95" s="181"/>
      <c r="K95" s="181"/>
      <c r="L95" s="181"/>
      <c r="M95" s="181"/>
      <c r="N95" s="181"/>
      <c r="O95" s="181"/>
      <c r="P95" s="181"/>
      <c r="Q95" s="181"/>
      <c r="R95" s="181"/>
      <c r="S95" s="181"/>
      <c r="T95" s="181"/>
      <c r="U95" s="181"/>
      <c r="V95" s="181"/>
      <c r="W95" s="181"/>
      <c r="X95" s="181"/>
      <c r="Y95" s="181"/>
      <c r="Z95" s="181"/>
      <c r="AA95" s="181"/>
    </row>
    <row r="96" spans="2:27" ht="15">
      <c r="B96" s="178"/>
      <c r="C96" s="181"/>
      <c r="D96" s="181"/>
      <c r="E96" s="181"/>
      <c r="F96" s="181"/>
      <c r="G96" s="181"/>
      <c r="H96" s="181"/>
      <c r="I96" s="181"/>
      <c r="J96" s="181"/>
      <c r="K96" s="181"/>
      <c r="L96" s="181"/>
      <c r="M96" s="181"/>
      <c r="N96" s="181"/>
      <c r="O96" s="181"/>
      <c r="P96" s="181"/>
      <c r="Q96" s="181"/>
      <c r="R96" s="181"/>
      <c r="S96" s="181"/>
      <c r="T96" s="181"/>
      <c r="U96" s="181"/>
      <c r="V96" s="181"/>
      <c r="W96" s="181"/>
      <c r="X96" s="181"/>
      <c r="Y96" s="181"/>
      <c r="Z96" s="181"/>
      <c r="AA96" s="181"/>
    </row>
    <row r="97" spans="2:27" ht="15">
      <c r="B97" s="178"/>
      <c r="C97" s="181"/>
      <c r="D97" s="181"/>
      <c r="E97" s="181"/>
      <c r="F97" s="181"/>
      <c r="G97" s="181"/>
      <c r="H97" s="181"/>
      <c r="I97" s="181"/>
      <c r="J97" s="181"/>
      <c r="K97" s="181"/>
      <c r="L97" s="181"/>
      <c r="M97" s="181"/>
      <c r="N97" s="181"/>
      <c r="O97" s="181"/>
      <c r="P97" s="181"/>
      <c r="Q97" s="181"/>
      <c r="R97" s="181"/>
      <c r="S97" s="181"/>
      <c r="T97" s="181"/>
      <c r="U97" s="181"/>
      <c r="V97" s="181"/>
      <c r="W97" s="181"/>
      <c r="X97" s="181"/>
      <c r="Y97" s="181"/>
      <c r="Z97" s="181"/>
      <c r="AA97" s="181"/>
    </row>
    <row r="98" spans="2:27" ht="15">
      <c r="B98" s="178"/>
      <c r="C98" s="181"/>
      <c r="D98" s="181"/>
      <c r="E98" s="181"/>
      <c r="F98" s="181"/>
      <c r="G98" s="181"/>
      <c r="H98" s="181"/>
      <c r="I98" s="181"/>
      <c r="J98" s="181"/>
      <c r="K98" s="181"/>
      <c r="L98" s="181"/>
      <c r="M98" s="181"/>
      <c r="N98" s="181"/>
      <c r="O98" s="181"/>
      <c r="P98" s="181"/>
      <c r="Q98" s="181"/>
      <c r="R98" s="181"/>
      <c r="S98" s="181"/>
      <c r="T98" s="181"/>
      <c r="U98" s="181"/>
      <c r="V98" s="181"/>
      <c r="W98" s="181"/>
      <c r="X98" s="181"/>
      <c r="Y98" s="181"/>
      <c r="Z98" s="181"/>
      <c r="AA98" s="181"/>
    </row>
    <row r="99" spans="2:27" ht="15">
      <c r="B99" s="178"/>
      <c r="C99" s="181"/>
      <c r="D99" s="181"/>
      <c r="E99" s="181"/>
      <c r="F99" s="181"/>
      <c r="G99" s="181"/>
      <c r="H99" s="181"/>
      <c r="I99" s="181"/>
      <c r="J99" s="181"/>
      <c r="K99" s="181"/>
      <c r="L99" s="181"/>
      <c r="M99" s="181"/>
      <c r="N99" s="181"/>
      <c r="O99" s="181"/>
      <c r="P99" s="181"/>
      <c r="Q99" s="181"/>
      <c r="R99" s="181"/>
      <c r="S99" s="181"/>
      <c r="T99" s="181"/>
      <c r="U99" s="181"/>
      <c r="V99" s="181"/>
      <c r="W99" s="181"/>
      <c r="X99" s="181"/>
      <c r="Y99" s="181"/>
      <c r="Z99" s="181"/>
      <c r="AA99" s="181"/>
    </row>
    <row r="100" spans="2:27" ht="15">
      <c r="B100" s="178"/>
      <c r="C100" s="181"/>
      <c r="D100" s="181"/>
      <c r="E100" s="181"/>
      <c r="F100" s="181"/>
      <c r="G100" s="181"/>
      <c r="H100" s="181"/>
      <c r="I100" s="181"/>
      <c r="J100" s="181"/>
      <c r="K100" s="181"/>
      <c r="L100" s="181"/>
      <c r="M100" s="181"/>
      <c r="N100" s="181"/>
      <c r="O100" s="181"/>
      <c r="P100" s="181"/>
      <c r="Q100" s="181"/>
      <c r="R100" s="181"/>
      <c r="S100" s="181"/>
      <c r="T100" s="181"/>
      <c r="U100" s="181"/>
      <c r="V100" s="181"/>
      <c r="W100" s="181"/>
      <c r="X100" s="181"/>
      <c r="Y100" s="181"/>
      <c r="Z100" s="181"/>
      <c r="AA100" s="181"/>
    </row>
    <row r="101" spans="2:27" ht="15">
      <c r="B101" s="178"/>
      <c r="C101" s="181"/>
      <c r="D101" s="181"/>
      <c r="E101" s="181"/>
      <c r="F101" s="181"/>
      <c r="G101" s="181"/>
      <c r="H101" s="181"/>
      <c r="I101" s="181"/>
      <c r="J101" s="181"/>
      <c r="K101" s="181"/>
      <c r="L101" s="181"/>
      <c r="M101" s="181"/>
      <c r="N101" s="181"/>
      <c r="O101" s="181"/>
      <c r="P101" s="181"/>
      <c r="Q101" s="181"/>
      <c r="R101" s="181"/>
      <c r="S101" s="181"/>
      <c r="T101" s="181"/>
      <c r="U101" s="181"/>
      <c r="V101" s="181"/>
      <c r="W101" s="181"/>
      <c r="X101" s="181"/>
      <c r="Y101" s="181"/>
      <c r="Z101" s="181"/>
      <c r="AA101" s="181"/>
    </row>
    <row r="102" spans="2:27" ht="15">
      <c r="B102" s="178"/>
      <c r="C102" s="181"/>
      <c r="D102" s="181"/>
      <c r="E102" s="181"/>
      <c r="F102" s="181"/>
      <c r="G102" s="181"/>
      <c r="H102" s="181"/>
      <c r="I102" s="181"/>
      <c r="J102" s="181"/>
      <c r="K102" s="181"/>
      <c r="L102" s="181"/>
      <c r="M102" s="181"/>
      <c r="N102" s="181"/>
      <c r="O102" s="181"/>
      <c r="P102" s="181"/>
      <c r="Q102" s="181"/>
      <c r="R102" s="181"/>
      <c r="S102" s="181"/>
      <c r="T102" s="181"/>
      <c r="U102" s="181"/>
      <c r="V102" s="181"/>
      <c r="W102" s="181"/>
      <c r="X102" s="181"/>
      <c r="Y102" s="181"/>
      <c r="Z102" s="181"/>
      <c r="AA102" s="181"/>
    </row>
    <row r="103" spans="2:27" ht="15">
      <c r="B103" s="178"/>
      <c r="C103" s="181"/>
      <c r="D103" s="181"/>
      <c r="E103" s="181"/>
      <c r="F103" s="181"/>
      <c r="G103" s="181"/>
      <c r="H103" s="181"/>
      <c r="I103" s="181"/>
      <c r="J103" s="181"/>
      <c r="K103" s="181"/>
      <c r="L103" s="181"/>
      <c r="M103" s="181"/>
      <c r="N103" s="181"/>
      <c r="O103" s="181"/>
      <c r="P103" s="181"/>
      <c r="Q103" s="181"/>
      <c r="R103" s="181"/>
      <c r="S103" s="181"/>
      <c r="T103" s="181"/>
      <c r="U103" s="181"/>
      <c r="V103" s="181"/>
      <c r="W103" s="181"/>
      <c r="X103" s="181"/>
      <c r="Y103" s="181"/>
      <c r="Z103" s="181"/>
      <c r="AA103" s="181"/>
    </row>
    <row r="104" spans="2:27" ht="15">
      <c r="B104" s="178"/>
      <c r="C104" s="181"/>
      <c r="D104" s="181"/>
      <c r="E104" s="181"/>
      <c r="F104" s="181"/>
      <c r="G104" s="181"/>
      <c r="H104" s="181"/>
      <c r="I104" s="181"/>
      <c r="J104" s="181"/>
      <c r="K104" s="181"/>
      <c r="L104" s="181"/>
      <c r="M104" s="181"/>
      <c r="N104" s="181"/>
      <c r="O104" s="181"/>
      <c r="P104" s="181"/>
      <c r="Q104" s="181"/>
      <c r="R104" s="181"/>
      <c r="S104" s="181"/>
      <c r="T104" s="181"/>
      <c r="U104" s="181"/>
      <c r="V104" s="181"/>
      <c r="W104" s="181"/>
      <c r="X104" s="181"/>
      <c r="Y104" s="181"/>
      <c r="Z104" s="181"/>
      <c r="AA104" s="181"/>
    </row>
    <row r="105" spans="2:27" ht="15">
      <c r="B105" s="178"/>
      <c r="C105" s="181"/>
      <c r="D105" s="181"/>
      <c r="E105" s="181"/>
      <c r="F105" s="181"/>
      <c r="G105" s="181"/>
      <c r="H105" s="181"/>
      <c r="I105" s="181"/>
      <c r="J105" s="181"/>
      <c r="K105" s="181"/>
      <c r="L105" s="181"/>
      <c r="M105" s="181"/>
      <c r="N105" s="181"/>
      <c r="O105" s="181"/>
      <c r="P105" s="181"/>
      <c r="Q105" s="181"/>
      <c r="R105" s="181"/>
      <c r="S105" s="181"/>
      <c r="T105" s="181"/>
      <c r="U105" s="181"/>
      <c r="V105" s="181"/>
      <c r="W105" s="181"/>
      <c r="X105" s="181"/>
      <c r="Y105" s="181"/>
      <c r="Z105" s="181"/>
      <c r="AA105" s="181"/>
    </row>
    <row r="106" spans="2:27" ht="15">
      <c r="B106" s="178"/>
      <c r="C106" s="181"/>
      <c r="D106" s="181"/>
      <c r="E106" s="181"/>
      <c r="F106" s="181"/>
      <c r="G106" s="181"/>
      <c r="H106" s="181"/>
      <c r="I106" s="181"/>
      <c r="J106" s="181"/>
      <c r="K106" s="181"/>
      <c r="L106" s="181"/>
      <c r="M106" s="181"/>
      <c r="N106" s="181"/>
      <c r="O106" s="181"/>
      <c r="P106" s="181"/>
      <c r="Q106" s="181"/>
      <c r="R106" s="181"/>
      <c r="S106" s="181"/>
      <c r="T106" s="181"/>
      <c r="U106" s="181"/>
      <c r="V106" s="181"/>
      <c r="W106" s="181"/>
      <c r="X106" s="181"/>
      <c r="Y106" s="181"/>
      <c r="Z106" s="181"/>
      <c r="AA106" s="181"/>
    </row>
    <row r="107" spans="2:27" ht="15">
      <c r="B107" s="178"/>
      <c r="C107" s="181"/>
      <c r="D107" s="181"/>
      <c r="E107" s="181"/>
      <c r="F107" s="181"/>
      <c r="G107" s="181"/>
      <c r="H107" s="181"/>
      <c r="I107" s="181"/>
      <c r="J107" s="181"/>
      <c r="K107" s="181"/>
      <c r="L107" s="181"/>
      <c r="M107" s="181"/>
      <c r="N107" s="181"/>
      <c r="O107" s="181"/>
      <c r="P107" s="181"/>
      <c r="Q107" s="181"/>
      <c r="R107" s="181"/>
      <c r="S107" s="181"/>
      <c r="T107" s="181"/>
      <c r="U107" s="181"/>
      <c r="V107" s="181"/>
      <c r="W107" s="181"/>
      <c r="X107" s="181"/>
      <c r="Y107" s="181"/>
      <c r="Z107" s="181"/>
      <c r="AA107" s="181"/>
    </row>
    <row r="108" spans="2:27" ht="15">
      <c r="B108" s="178"/>
      <c r="C108" s="181"/>
      <c r="D108" s="181"/>
      <c r="E108" s="181"/>
      <c r="F108" s="181"/>
      <c r="G108" s="181"/>
      <c r="H108" s="181"/>
      <c r="I108" s="181"/>
      <c r="J108" s="181"/>
      <c r="K108" s="181"/>
      <c r="L108" s="181"/>
      <c r="M108" s="181"/>
      <c r="N108" s="181"/>
      <c r="O108" s="181"/>
      <c r="P108" s="181"/>
      <c r="Q108" s="181"/>
      <c r="R108" s="181"/>
      <c r="S108" s="181"/>
      <c r="T108" s="181"/>
      <c r="U108" s="181"/>
      <c r="V108" s="181"/>
      <c r="W108" s="181"/>
      <c r="X108" s="181"/>
      <c r="Y108" s="181"/>
      <c r="Z108" s="181"/>
      <c r="AA108" s="181"/>
    </row>
    <row r="109" spans="2:27" ht="15">
      <c r="B109" s="178"/>
      <c r="C109" s="181"/>
      <c r="D109" s="181"/>
      <c r="E109" s="181"/>
      <c r="F109" s="181"/>
      <c r="G109" s="181"/>
      <c r="H109" s="181"/>
      <c r="I109" s="181"/>
      <c r="J109" s="181"/>
      <c r="K109" s="181"/>
      <c r="L109" s="181"/>
      <c r="M109" s="181"/>
      <c r="N109" s="181"/>
      <c r="O109" s="181"/>
      <c r="P109" s="181"/>
      <c r="Q109" s="181"/>
      <c r="R109" s="181"/>
      <c r="S109" s="181"/>
      <c r="T109" s="181"/>
      <c r="U109" s="181"/>
      <c r="V109" s="181"/>
      <c r="W109" s="181"/>
      <c r="X109" s="181"/>
      <c r="Y109" s="181"/>
      <c r="Z109" s="181"/>
      <c r="AA109" s="181"/>
    </row>
    <row r="110" spans="2:27" ht="15">
      <c r="B110" s="178"/>
      <c r="C110" s="181"/>
      <c r="D110" s="181"/>
      <c r="E110" s="181"/>
      <c r="F110" s="181"/>
      <c r="G110" s="181"/>
      <c r="H110" s="181"/>
      <c r="I110" s="181"/>
      <c r="J110" s="181"/>
      <c r="K110" s="181"/>
      <c r="L110" s="181"/>
      <c r="M110" s="181"/>
      <c r="N110" s="181"/>
      <c r="O110" s="181"/>
      <c r="P110" s="181"/>
      <c r="Q110" s="181"/>
      <c r="R110" s="181"/>
      <c r="S110" s="181"/>
      <c r="T110" s="181"/>
      <c r="U110" s="181"/>
      <c r="V110" s="181"/>
      <c r="W110" s="181"/>
      <c r="X110" s="181"/>
      <c r="Y110" s="181"/>
      <c r="Z110" s="181"/>
      <c r="AA110" s="181"/>
    </row>
    <row r="111" spans="2:27" ht="15">
      <c r="B111" s="178"/>
      <c r="C111" s="181"/>
      <c r="D111" s="181"/>
      <c r="E111" s="181"/>
      <c r="F111" s="181"/>
      <c r="G111" s="181"/>
      <c r="H111" s="181"/>
      <c r="I111" s="181"/>
      <c r="J111" s="181"/>
      <c r="K111" s="181"/>
      <c r="L111" s="181"/>
      <c r="M111" s="181"/>
      <c r="N111" s="181"/>
      <c r="O111" s="181"/>
      <c r="P111" s="181"/>
      <c r="Q111" s="181"/>
      <c r="R111" s="181"/>
      <c r="S111" s="181"/>
      <c r="T111" s="181"/>
      <c r="U111" s="181"/>
      <c r="V111" s="181"/>
      <c r="W111" s="181"/>
      <c r="X111" s="181"/>
      <c r="Y111" s="181"/>
      <c r="Z111" s="181"/>
      <c r="AA111" s="181"/>
    </row>
    <row r="112" spans="2:27" ht="15">
      <c r="B112" s="178"/>
      <c r="C112" s="181"/>
      <c r="D112" s="181"/>
      <c r="E112" s="181"/>
      <c r="F112" s="181"/>
      <c r="G112" s="181"/>
      <c r="H112" s="181"/>
      <c r="I112" s="181"/>
      <c r="J112" s="181"/>
      <c r="K112" s="181"/>
      <c r="L112" s="181"/>
      <c r="M112" s="181"/>
      <c r="N112" s="181"/>
      <c r="O112" s="181"/>
      <c r="P112" s="181"/>
      <c r="Q112" s="181"/>
      <c r="R112" s="181"/>
      <c r="S112" s="181"/>
      <c r="T112" s="181"/>
      <c r="U112" s="181"/>
      <c r="V112" s="181"/>
      <c r="W112" s="181"/>
      <c r="X112" s="181"/>
      <c r="Y112" s="181"/>
      <c r="Z112" s="181"/>
      <c r="AA112" s="181"/>
    </row>
    <row r="113" spans="2:27" ht="15">
      <c r="B113" s="178"/>
      <c r="C113" s="181"/>
      <c r="D113" s="181"/>
      <c r="E113" s="181"/>
      <c r="F113" s="181"/>
      <c r="G113" s="181"/>
      <c r="H113" s="181"/>
      <c r="I113" s="181"/>
      <c r="J113" s="181"/>
      <c r="K113" s="181"/>
      <c r="L113" s="181"/>
      <c r="M113" s="181"/>
      <c r="N113" s="181"/>
      <c r="O113" s="181"/>
      <c r="P113" s="181"/>
      <c r="Q113" s="181"/>
      <c r="R113" s="181"/>
      <c r="S113" s="181"/>
      <c r="T113" s="181"/>
      <c r="U113" s="181"/>
      <c r="V113" s="181"/>
      <c r="W113" s="181"/>
      <c r="X113" s="181"/>
      <c r="Y113" s="181"/>
      <c r="Z113" s="181"/>
      <c r="AA113" s="181"/>
    </row>
    <row r="114" spans="2:27" ht="15">
      <c r="B114" s="178"/>
      <c r="C114" s="181"/>
      <c r="D114" s="181"/>
      <c r="E114" s="181"/>
      <c r="F114" s="181"/>
      <c r="G114" s="181"/>
      <c r="H114" s="181"/>
      <c r="I114" s="181"/>
      <c r="J114" s="181"/>
      <c r="K114" s="181"/>
      <c r="L114" s="181"/>
      <c r="M114" s="181"/>
      <c r="N114" s="181"/>
      <c r="O114" s="181"/>
      <c r="P114" s="181"/>
      <c r="Q114" s="181"/>
      <c r="R114" s="181"/>
      <c r="S114" s="181"/>
      <c r="T114" s="181"/>
      <c r="U114" s="181"/>
      <c r="V114" s="181"/>
      <c r="W114" s="181"/>
      <c r="X114" s="181"/>
      <c r="Y114" s="181"/>
      <c r="Z114" s="181"/>
      <c r="AA114" s="181"/>
    </row>
    <row r="115" spans="2:27" ht="15">
      <c r="B115" s="178"/>
      <c r="C115" s="181"/>
      <c r="D115" s="181"/>
      <c r="E115" s="181"/>
      <c r="F115" s="181"/>
      <c r="G115" s="181"/>
      <c r="H115" s="181"/>
      <c r="I115" s="181"/>
      <c r="J115" s="181"/>
      <c r="K115" s="181"/>
      <c r="L115" s="181"/>
      <c r="M115" s="181"/>
      <c r="N115" s="181"/>
      <c r="O115" s="181"/>
      <c r="P115" s="181"/>
      <c r="Q115" s="181"/>
      <c r="R115" s="181"/>
      <c r="S115" s="181"/>
      <c r="T115" s="181"/>
      <c r="U115" s="181"/>
      <c r="V115" s="181"/>
      <c r="W115" s="181"/>
      <c r="X115" s="181"/>
      <c r="Y115" s="181"/>
      <c r="Z115" s="181"/>
      <c r="AA115" s="181"/>
    </row>
    <row r="116" spans="2:27" ht="15">
      <c r="B116" s="178"/>
      <c r="C116" s="181"/>
      <c r="D116" s="181"/>
      <c r="E116" s="181"/>
      <c r="F116" s="181"/>
      <c r="G116" s="181"/>
      <c r="H116" s="181"/>
      <c r="I116" s="181"/>
      <c r="J116" s="181"/>
      <c r="K116" s="181"/>
      <c r="L116" s="181"/>
      <c r="M116" s="181"/>
      <c r="N116" s="181"/>
      <c r="O116" s="181"/>
      <c r="P116" s="181"/>
      <c r="Q116" s="181"/>
      <c r="R116" s="181"/>
      <c r="S116" s="181"/>
      <c r="T116" s="181"/>
      <c r="U116" s="181"/>
      <c r="V116" s="181"/>
      <c r="W116" s="181"/>
      <c r="X116" s="181"/>
      <c r="Y116" s="181"/>
      <c r="Z116" s="181"/>
      <c r="AA116" s="181"/>
    </row>
    <row r="117" spans="2:27" ht="15">
      <c r="B117" s="178"/>
      <c r="C117" s="181"/>
      <c r="D117" s="181"/>
      <c r="E117" s="181"/>
      <c r="F117" s="181"/>
      <c r="G117" s="181"/>
      <c r="H117" s="181"/>
      <c r="I117" s="181"/>
      <c r="J117" s="181"/>
      <c r="K117" s="181"/>
      <c r="L117" s="181"/>
      <c r="M117" s="181"/>
      <c r="N117" s="181"/>
      <c r="O117" s="181"/>
      <c r="P117" s="181"/>
      <c r="Q117" s="181"/>
      <c r="R117" s="181"/>
      <c r="S117" s="181"/>
      <c r="T117" s="181"/>
      <c r="U117" s="181"/>
      <c r="V117" s="181"/>
      <c r="W117" s="181"/>
      <c r="X117" s="181"/>
      <c r="Y117" s="181"/>
      <c r="Z117" s="181"/>
      <c r="AA117" s="181"/>
    </row>
    <row r="118" spans="2:27" ht="15">
      <c r="B118" s="178"/>
      <c r="C118" s="181"/>
      <c r="D118" s="181"/>
      <c r="E118" s="181"/>
      <c r="F118" s="181"/>
      <c r="G118" s="181"/>
      <c r="H118" s="181"/>
      <c r="I118" s="181"/>
      <c r="J118" s="181"/>
      <c r="K118" s="181"/>
      <c r="L118" s="181"/>
      <c r="M118" s="181"/>
      <c r="N118" s="181"/>
      <c r="O118" s="181"/>
      <c r="P118" s="181"/>
      <c r="Q118" s="181"/>
      <c r="R118" s="181"/>
      <c r="S118" s="181"/>
      <c r="T118" s="181"/>
      <c r="U118" s="181"/>
      <c r="V118" s="181"/>
      <c r="W118" s="181"/>
      <c r="X118" s="181"/>
      <c r="Y118" s="181"/>
      <c r="Z118" s="181"/>
      <c r="AA118" s="181"/>
    </row>
    <row r="119" spans="2:27" ht="15">
      <c r="B119" s="178"/>
      <c r="C119" s="181"/>
      <c r="D119" s="181"/>
      <c r="E119" s="181"/>
      <c r="F119" s="181"/>
      <c r="G119" s="181"/>
      <c r="H119" s="181"/>
      <c r="I119" s="181"/>
      <c r="J119" s="181"/>
      <c r="K119" s="181"/>
      <c r="L119" s="181"/>
      <c r="M119" s="181"/>
      <c r="N119" s="181"/>
      <c r="O119" s="181"/>
      <c r="P119" s="181"/>
      <c r="Q119" s="181"/>
      <c r="R119" s="181"/>
      <c r="S119" s="181"/>
      <c r="T119" s="181"/>
      <c r="U119" s="181"/>
      <c r="V119" s="181"/>
      <c r="W119" s="181"/>
      <c r="X119" s="181"/>
      <c r="Y119" s="181"/>
      <c r="Z119" s="181"/>
      <c r="AA119" s="181"/>
    </row>
    <row r="120" spans="2:27" ht="15">
      <c r="B120" s="178"/>
      <c r="C120" s="181"/>
      <c r="D120" s="181"/>
      <c r="E120" s="181"/>
      <c r="F120" s="181"/>
      <c r="G120" s="181"/>
      <c r="H120" s="181"/>
      <c r="I120" s="181"/>
      <c r="J120" s="181"/>
      <c r="K120" s="181"/>
      <c r="L120" s="181"/>
      <c r="M120" s="181"/>
      <c r="N120" s="181"/>
      <c r="O120" s="181"/>
      <c r="P120" s="181"/>
      <c r="Q120" s="181"/>
      <c r="R120" s="181"/>
      <c r="S120" s="181"/>
      <c r="T120" s="181"/>
      <c r="U120" s="181"/>
      <c r="V120" s="181"/>
      <c r="W120" s="181"/>
      <c r="X120" s="181"/>
      <c r="Y120" s="181"/>
      <c r="Z120" s="181"/>
      <c r="AA120" s="181"/>
    </row>
    <row r="121" spans="2:27" ht="15">
      <c r="B121" s="178"/>
      <c r="C121" s="181"/>
      <c r="D121" s="181"/>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c r="AA121" s="181"/>
    </row>
    <row r="122" spans="2:27" ht="15">
      <c r="B122" s="178"/>
      <c r="C122" s="181"/>
      <c r="D122" s="181"/>
      <c r="E122" s="181"/>
      <c r="F122" s="181"/>
      <c r="G122" s="181"/>
      <c r="H122" s="181"/>
      <c r="I122" s="181"/>
      <c r="J122" s="181"/>
      <c r="K122" s="181"/>
      <c r="L122" s="181"/>
      <c r="M122" s="181"/>
      <c r="N122" s="181"/>
      <c r="O122" s="181"/>
      <c r="P122" s="181"/>
      <c r="Q122" s="181"/>
      <c r="R122" s="181"/>
      <c r="S122" s="181"/>
      <c r="T122" s="181"/>
      <c r="U122" s="181"/>
      <c r="V122" s="181"/>
      <c r="W122" s="181"/>
      <c r="X122" s="181"/>
      <c r="Y122" s="181"/>
      <c r="Z122" s="181"/>
      <c r="AA122" s="181"/>
    </row>
    <row r="123" spans="2:27" ht="15">
      <c r="B123" s="178"/>
      <c r="C123" s="181"/>
      <c r="D123" s="181"/>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c r="AA123" s="181"/>
    </row>
    <row r="124" spans="2:27" ht="15">
      <c r="B124" s="178"/>
      <c r="C124" s="181"/>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1"/>
      <c r="Z124" s="181"/>
      <c r="AA124" s="181"/>
    </row>
    <row r="125" spans="2:27" ht="15">
      <c r="B125" s="178"/>
      <c r="C125" s="181"/>
      <c r="D125" s="181"/>
      <c r="E125" s="181"/>
      <c r="F125" s="181"/>
      <c r="G125" s="181"/>
      <c r="H125" s="181"/>
      <c r="I125" s="181"/>
      <c r="J125" s="181"/>
      <c r="K125" s="181"/>
      <c r="L125" s="181"/>
      <c r="M125" s="181"/>
      <c r="N125" s="181"/>
      <c r="O125" s="181"/>
      <c r="P125" s="181"/>
      <c r="Q125" s="181"/>
      <c r="R125" s="181"/>
      <c r="S125" s="181"/>
      <c r="T125" s="181"/>
      <c r="U125" s="181"/>
      <c r="V125" s="181"/>
      <c r="W125" s="181"/>
      <c r="X125" s="181"/>
      <c r="Y125" s="181"/>
      <c r="Z125" s="181"/>
      <c r="AA125" s="181"/>
    </row>
    <row r="126" spans="2:27" ht="15">
      <c r="B126" s="178"/>
      <c r="C126" s="181"/>
      <c r="D126" s="181"/>
      <c r="E126" s="181"/>
      <c r="F126" s="181"/>
      <c r="G126" s="181"/>
      <c r="H126" s="181"/>
      <c r="I126" s="181"/>
      <c r="J126" s="181"/>
      <c r="K126" s="181"/>
      <c r="L126" s="181"/>
      <c r="M126" s="181"/>
      <c r="N126" s="181"/>
      <c r="O126" s="181"/>
      <c r="P126" s="181"/>
      <c r="Q126" s="181"/>
      <c r="R126" s="181"/>
      <c r="S126" s="181"/>
      <c r="T126" s="181"/>
      <c r="U126" s="181"/>
      <c r="V126" s="181"/>
      <c r="W126" s="181"/>
      <c r="X126" s="181"/>
      <c r="Y126" s="181"/>
      <c r="Z126" s="181"/>
      <c r="AA126" s="181"/>
    </row>
    <row r="127" spans="2:27" ht="15">
      <c r="B127" s="178"/>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row>
    <row r="128" spans="2:27" ht="15">
      <c r="B128" s="178"/>
      <c r="C128" s="181"/>
      <c r="D128" s="181"/>
      <c r="E128" s="181"/>
      <c r="F128" s="181"/>
      <c r="G128" s="181"/>
      <c r="H128" s="181"/>
      <c r="I128" s="181"/>
      <c r="J128" s="181"/>
      <c r="K128" s="181"/>
      <c r="L128" s="181"/>
      <c r="M128" s="181"/>
      <c r="N128" s="181"/>
      <c r="O128" s="181"/>
      <c r="P128" s="181"/>
      <c r="Q128" s="181"/>
      <c r="R128" s="181"/>
      <c r="S128" s="181"/>
      <c r="T128" s="181"/>
      <c r="U128" s="181"/>
      <c r="V128" s="181"/>
      <c r="W128" s="181"/>
      <c r="X128" s="181"/>
      <c r="Y128" s="181"/>
      <c r="Z128" s="181"/>
      <c r="AA128" s="181"/>
    </row>
    <row r="129" spans="2:27" ht="15">
      <c r="B129" s="178"/>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row>
    <row r="130" spans="2:27" ht="15">
      <c r="B130" s="178"/>
      <c r="C130" s="181"/>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c r="AA130" s="181"/>
    </row>
    <row r="131" spans="2:27" ht="15">
      <c r="B131" s="178"/>
      <c r="C131" s="181"/>
      <c r="D131" s="181"/>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c r="AA131" s="181"/>
    </row>
    <row r="132" spans="2:27" ht="15">
      <c r="B132" s="178"/>
      <c r="C132" s="181"/>
      <c r="D132" s="181"/>
      <c r="E132" s="181"/>
      <c r="F132" s="181"/>
      <c r="G132" s="181"/>
      <c r="H132" s="181"/>
      <c r="I132" s="181"/>
      <c r="J132" s="181"/>
      <c r="K132" s="181"/>
      <c r="L132" s="181"/>
      <c r="M132" s="181"/>
      <c r="N132" s="181"/>
      <c r="O132" s="181"/>
      <c r="P132" s="181"/>
      <c r="Q132" s="181"/>
      <c r="R132" s="181"/>
      <c r="S132" s="181"/>
      <c r="T132" s="181"/>
      <c r="U132" s="181"/>
      <c r="V132" s="181"/>
      <c r="W132" s="181"/>
      <c r="X132" s="181"/>
      <c r="Y132" s="181"/>
      <c r="Z132" s="181"/>
      <c r="AA132" s="181"/>
    </row>
    <row r="133" spans="2:27" ht="15">
      <c r="B133" s="178"/>
      <c r="C133" s="181"/>
      <c r="D133" s="181"/>
      <c r="E133" s="181"/>
      <c r="F133" s="181"/>
      <c r="G133" s="181"/>
      <c r="H133" s="181"/>
      <c r="I133" s="181"/>
      <c r="J133" s="181"/>
      <c r="K133" s="181"/>
      <c r="L133" s="181"/>
      <c r="M133" s="181"/>
      <c r="N133" s="181"/>
      <c r="O133" s="181"/>
      <c r="P133" s="181"/>
      <c r="Q133" s="181"/>
      <c r="R133" s="181"/>
      <c r="S133" s="181"/>
      <c r="T133" s="181"/>
      <c r="U133" s="181"/>
      <c r="V133" s="181"/>
      <c r="W133" s="181"/>
      <c r="X133" s="181"/>
      <c r="Y133" s="181"/>
      <c r="Z133" s="181"/>
      <c r="AA133" s="181"/>
    </row>
    <row r="134" spans="2:27" ht="15">
      <c r="B134" s="178"/>
      <c r="C134" s="181"/>
      <c r="D134" s="181"/>
      <c r="E134" s="181"/>
      <c r="F134" s="181"/>
      <c r="G134" s="181"/>
      <c r="H134" s="181"/>
      <c r="I134" s="181"/>
      <c r="J134" s="181"/>
      <c r="K134" s="181"/>
      <c r="L134" s="181"/>
      <c r="M134" s="181"/>
      <c r="N134" s="181"/>
      <c r="O134" s="181"/>
      <c r="P134" s="181"/>
      <c r="Q134" s="181"/>
      <c r="R134" s="181"/>
      <c r="S134" s="181"/>
      <c r="T134" s="181"/>
      <c r="U134" s="181"/>
      <c r="V134" s="181"/>
      <c r="W134" s="181"/>
      <c r="X134" s="181"/>
      <c r="Y134" s="181"/>
      <c r="Z134" s="181"/>
      <c r="AA134" s="181"/>
    </row>
    <row r="135" spans="2:27" ht="15">
      <c r="B135" s="178"/>
      <c r="C135" s="181"/>
      <c r="D135" s="181"/>
      <c r="E135" s="181"/>
      <c r="F135" s="181"/>
      <c r="G135" s="181"/>
      <c r="H135" s="181"/>
      <c r="I135" s="181"/>
      <c r="J135" s="181"/>
      <c r="K135" s="181"/>
      <c r="L135" s="181"/>
      <c r="M135" s="181"/>
      <c r="N135" s="181"/>
      <c r="O135" s="181"/>
      <c r="P135" s="181"/>
      <c r="Q135" s="181"/>
      <c r="R135" s="181"/>
      <c r="S135" s="181"/>
      <c r="T135" s="181"/>
      <c r="U135" s="181"/>
      <c r="V135" s="181"/>
      <c r="W135" s="181"/>
      <c r="X135" s="181"/>
      <c r="Y135" s="181"/>
      <c r="Z135" s="181"/>
      <c r="AA135" s="181"/>
    </row>
    <row r="136" spans="2:27" ht="15">
      <c r="B136" s="178"/>
      <c r="C136" s="181"/>
      <c r="D136" s="181"/>
      <c r="E136" s="181"/>
      <c r="F136" s="181"/>
      <c r="G136" s="181"/>
      <c r="H136" s="181"/>
      <c r="I136" s="181"/>
      <c r="J136" s="181"/>
      <c r="K136" s="181"/>
      <c r="L136" s="181"/>
      <c r="M136" s="181"/>
      <c r="N136" s="181"/>
      <c r="O136" s="181"/>
      <c r="P136" s="181"/>
      <c r="Q136" s="181"/>
      <c r="R136" s="181"/>
      <c r="S136" s="181"/>
      <c r="T136" s="181"/>
      <c r="U136" s="181"/>
      <c r="V136" s="181"/>
      <c r="W136" s="181"/>
      <c r="X136" s="181"/>
      <c r="Y136" s="181"/>
      <c r="Z136" s="181"/>
      <c r="AA136" s="181"/>
    </row>
    <row r="137" spans="2:27" ht="15">
      <c r="B137" s="178"/>
      <c r="C137" s="181"/>
      <c r="D137" s="181"/>
      <c r="E137" s="181"/>
      <c r="F137" s="181"/>
      <c r="G137" s="181"/>
      <c r="H137" s="181"/>
      <c r="I137" s="181"/>
      <c r="J137" s="181"/>
      <c r="K137" s="181"/>
      <c r="L137" s="181"/>
      <c r="M137" s="181"/>
      <c r="N137" s="181"/>
      <c r="O137" s="181"/>
      <c r="P137" s="181"/>
      <c r="Q137" s="181"/>
      <c r="R137" s="181"/>
      <c r="S137" s="181"/>
      <c r="T137" s="181"/>
      <c r="U137" s="181"/>
      <c r="V137" s="181"/>
      <c r="W137" s="181"/>
      <c r="X137" s="181"/>
      <c r="Y137" s="181"/>
      <c r="Z137" s="181"/>
      <c r="AA137" s="181"/>
    </row>
    <row r="138" spans="2:27" ht="15">
      <c r="B138" s="178"/>
      <c r="C138" s="181"/>
      <c r="D138" s="181"/>
      <c r="E138" s="181"/>
      <c r="F138" s="181"/>
      <c r="G138" s="181"/>
      <c r="H138" s="181"/>
      <c r="I138" s="181"/>
      <c r="J138" s="181"/>
      <c r="K138" s="181"/>
      <c r="L138" s="181"/>
      <c r="M138" s="181"/>
      <c r="N138" s="181"/>
      <c r="O138" s="181"/>
      <c r="P138" s="181"/>
      <c r="Q138" s="181"/>
      <c r="R138" s="181"/>
      <c r="S138" s="181"/>
      <c r="T138" s="181"/>
      <c r="U138" s="181"/>
      <c r="V138" s="181"/>
      <c r="W138" s="181"/>
      <c r="X138" s="181"/>
      <c r="Y138" s="181"/>
      <c r="Z138" s="181"/>
      <c r="AA138" s="181"/>
    </row>
    <row r="139" spans="2:27" ht="15">
      <c r="B139" s="178"/>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row>
    <row r="140" spans="2:27" ht="15">
      <c r="B140" s="178"/>
      <c r="C140" s="181"/>
      <c r="D140" s="181"/>
      <c r="E140" s="181"/>
      <c r="F140" s="181"/>
      <c r="G140" s="181"/>
      <c r="H140" s="181"/>
      <c r="I140" s="181"/>
      <c r="J140" s="181"/>
      <c r="K140" s="181"/>
      <c r="L140" s="181"/>
      <c r="M140" s="181"/>
      <c r="N140" s="181"/>
      <c r="O140" s="181"/>
      <c r="P140" s="181"/>
      <c r="Q140" s="181"/>
      <c r="R140" s="181"/>
      <c r="S140" s="181"/>
      <c r="T140" s="181"/>
      <c r="U140" s="181"/>
      <c r="V140" s="181"/>
      <c r="W140" s="181"/>
      <c r="X140" s="181"/>
      <c r="Y140" s="181"/>
      <c r="Z140" s="181"/>
      <c r="AA140" s="181"/>
    </row>
    <row r="141" spans="2:27" ht="15">
      <c r="B141" s="178"/>
      <c r="C141" s="181"/>
      <c r="D141" s="181"/>
      <c r="E141" s="181"/>
      <c r="F141" s="181"/>
      <c r="G141" s="181"/>
      <c r="H141" s="181"/>
      <c r="I141" s="181"/>
      <c r="J141" s="181"/>
      <c r="K141" s="181"/>
      <c r="L141" s="181"/>
      <c r="M141" s="181"/>
      <c r="N141" s="181"/>
      <c r="O141" s="181"/>
      <c r="P141" s="181"/>
      <c r="Q141" s="181"/>
      <c r="R141" s="181"/>
      <c r="S141" s="181"/>
      <c r="T141" s="181"/>
      <c r="U141" s="181"/>
      <c r="V141" s="181"/>
      <c r="W141" s="181"/>
      <c r="X141" s="181"/>
      <c r="Y141" s="181"/>
      <c r="Z141" s="181"/>
      <c r="AA141" s="181"/>
    </row>
    <row r="142" spans="2:27" ht="15">
      <c r="B142" s="178"/>
      <c r="C142" s="181"/>
      <c r="D142" s="181"/>
      <c r="E142" s="181"/>
      <c r="F142" s="181"/>
      <c r="G142" s="181"/>
      <c r="H142" s="181"/>
      <c r="I142" s="181"/>
      <c r="J142" s="181"/>
      <c r="K142" s="181"/>
      <c r="L142" s="181"/>
      <c r="M142" s="181"/>
      <c r="N142" s="181"/>
      <c r="O142" s="181"/>
      <c r="P142" s="181"/>
      <c r="Q142" s="181"/>
      <c r="R142" s="181"/>
      <c r="S142" s="181"/>
      <c r="T142" s="181"/>
      <c r="U142" s="181"/>
      <c r="V142" s="181"/>
      <c r="W142" s="181"/>
      <c r="X142" s="181"/>
      <c r="Y142" s="181"/>
      <c r="Z142" s="181"/>
      <c r="AA142" s="181"/>
    </row>
    <row r="143" spans="2:27" ht="15">
      <c r="B143" s="178"/>
      <c r="C143" s="181"/>
      <c r="D143" s="181"/>
      <c r="E143" s="181"/>
      <c r="F143" s="181"/>
      <c r="G143" s="181"/>
      <c r="H143" s="181"/>
      <c r="I143" s="181"/>
      <c r="J143" s="181"/>
      <c r="K143" s="181"/>
      <c r="L143" s="181"/>
      <c r="M143" s="181"/>
      <c r="N143" s="181"/>
      <c r="O143" s="181"/>
      <c r="P143" s="181"/>
      <c r="Q143" s="181"/>
      <c r="R143" s="181"/>
      <c r="S143" s="181"/>
      <c r="T143" s="181"/>
      <c r="U143" s="181"/>
      <c r="V143" s="181"/>
      <c r="W143" s="181"/>
      <c r="X143" s="181"/>
      <c r="Y143" s="181"/>
      <c r="Z143" s="181"/>
      <c r="AA143" s="181"/>
    </row>
    <row r="144" spans="2:27" ht="15">
      <c r="B144" s="178"/>
      <c r="C144" s="181"/>
      <c r="D144" s="181"/>
      <c r="E144" s="181"/>
      <c r="F144" s="181"/>
      <c r="G144" s="181"/>
      <c r="H144" s="181"/>
      <c r="I144" s="181"/>
      <c r="J144" s="181"/>
      <c r="K144" s="181"/>
      <c r="L144" s="181"/>
      <c r="M144" s="181"/>
      <c r="N144" s="181"/>
      <c r="O144" s="181"/>
      <c r="P144" s="181"/>
      <c r="Q144" s="181"/>
      <c r="R144" s="181"/>
      <c r="S144" s="181"/>
      <c r="T144" s="181"/>
      <c r="U144" s="181"/>
      <c r="V144" s="181"/>
      <c r="W144" s="181"/>
      <c r="X144" s="181"/>
      <c r="Y144" s="181"/>
      <c r="Z144" s="181"/>
      <c r="AA144" s="181"/>
    </row>
    <row r="145" spans="2:27" ht="15">
      <c r="B145" s="178"/>
      <c r="C145" s="181"/>
      <c r="D145" s="181"/>
      <c r="E145" s="181"/>
      <c r="F145" s="181"/>
      <c r="G145" s="181"/>
      <c r="H145" s="181"/>
      <c r="I145" s="181"/>
      <c r="J145" s="181"/>
      <c r="K145" s="181"/>
      <c r="L145" s="181"/>
      <c r="M145" s="181"/>
      <c r="N145" s="181"/>
      <c r="O145" s="181"/>
      <c r="P145" s="181"/>
      <c r="Q145" s="181"/>
      <c r="R145" s="181"/>
      <c r="S145" s="181"/>
      <c r="T145" s="181"/>
      <c r="U145" s="181"/>
      <c r="V145" s="181"/>
      <c r="W145" s="181"/>
      <c r="X145" s="181"/>
      <c r="Y145" s="181"/>
      <c r="Z145" s="181"/>
      <c r="AA145" s="181"/>
    </row>
    <row r="146" spans="2:27" ht="15">
      <c r="B146" s="178"/>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row>
    <row r="147" spans="2:27" ht="15">
      <c r="B147" s="178"/>
      <c r="C147" s="181"/>
      <c r="D147" s="181"/>
      <c r="E147" s="181"/>
      <c r="F147" s="181"/>
      <c r="G147" s="181"/>
      <c r="H147" s="181"/>
      <c r="I147" s="181"/>
      <c r="J147" s="181"/>
      <c r="K147" s="181"/>
      <c r="L147" s="181"/>
      <c r="M147" s="181"/>
      <c r="N147" s="181"/>
      <c r="O147" s="181"/>
      <c r="P147" s="181"/>
      <c r="Q147" s="181"/>
      <c r="R147" s="181"/>
      <c r="S147" s="181"/>
      <c r="T147" s="181"/>
      <c r="U147" s="181"/>
      <c r="V147" s="181"/>
      <c r="W147" s="181"/>
      <c r="X147" s="181"/>
      <c r="Y147" s="181"/>
      <c r="Z147" s="181"/>
      <c r="AA147" s="181"/>
    </row>
    <row r="148" spans="2:27" ht="15">
      <c r="B148" s="178"/>
      <c r="C148" s="181"/>
      <c r="D148" s="181"/>
      <c r="E148" s="181"/>
      <c r="F148" s="181"/>
      <c r="G148" s="181"/>
      <c r="H148" s="181"/>
      <c r="I148" s="181"/>
      <c r="J148" s="181"/>
      <c r="K148" s="181"/>
      <c r="L148" s="181"/>
      <c r="M148" s="181"/>
      <c r="N148" s="181"/>
      <c r="O148" s="181"/>
      <c r="P148" s="181"/>
      <c r="Q148" s="181"/>
      <c r="R148" s="181"/>
      <c r="S148" s="181"/>
      <c r="T148" s="181"/>
      <c r="U148" s="181"/>
      <c r="V148" s="181"/>
      <c r="W148" s="181"/>
      <c r="X148" s="181"/>
      <c r="Y148" s="181"/>
      <c r="Z148" s="181"/>
      <c r="AA148" s="181"/>
    </row>
    <row r="149" spans="2:27" ht="15">
      <c r="B149" s="178"/>
      <c r="C149" s="181"/>
      <c r="D149" s="181"/>
      <c r="E149" s="181"/>
      <c r="F149" s="181"/>
      <c r="G149" s="181"/>
      <c r="H149" s="181"/>
      <c r="I149" s="181"/>
      <c r="J149" s="181"/>
      <c r="K149" s="181"/>
      <c r="L149" s="181"/>
      <c r="M149" s="181"/>
      <c r="N149" s="181"/>
      <c r="O149" s="181"/>
      <c r="P149" s="181"/>
      <c r="Q149" s="181"/>
      <c r="R149" s="181"/>
      <c r="S149" s="181"/>
      <c r="T149" s="181"/>
      <c r="U149" s="181"/>
      <c r="V149" s="181"/>
      <c r="W149" s="181"/>
      <c r="X149" s="181"/>
      <c r="Y149" s="181"/>
      <c r="Z149" s="181"/>
      <c r="AA149" s="181"/>
    </row>
    <row r="150" spans="2:27" ht="15">
      <c r="B150" s="178"/>
      <c r="C150" s="181"/>
      <c r="D150" s="181"/>
      <c r="E150" s="181"/>
      <c r="F150" s="181"/>
      <c r="G150" s="181"/>
      <c r="H150" s="181"/>
      <c r="I150" s="181"/>
      <c r="J150" s="181"/>
      <c r="K150" s="181"/>
      <c r="L150" s="181"/>
      <c r="M150" s="181"/>
      <c r="N150" s="181"/>
      <c r="O150" s="181"/>
      <c r="P150" s="181"/>
      <c r="Q150" s="181"/>
      <c r="R150" s="181"/>
      <c r="S150" s="181"/>
      <c r="T150" s="181"/>
      <c r="U150" s="181"/>
      <c r="V150" s="181"/>
      <c r="W150" s="181"/>
      <c r="X150" s="181"/>
      <c r="Y150" s="181"/>
      <c r="Z150" s="181"/>
      <c r="AA150" s="181"/>
    </row>
    <row r="151" spans="2:27" ht="15">
      <c r="B151" s="178"/>
      <c r="C151" s="181"/>
      <c r="D151" s="181"/>
      <c r="E151" s="181"/>
      <c r="F151" s="181"/>
      <c r="G151" s="181"/>
      <c r="H151" s="181"/>
      <c r="I151" s="181"/>
      <c r="J151" s="181"/>
      <c r="K151" s="181"/>
      <c r="L151" s="181"/>
      <c r="M151" s="181"/>
      <c r="N151" s="181"/>
      <c r="O151" s="181"/>
      <c r="P151" s="181"/>
      <c r="Q151" s="181"/>
      <c r="R151" s="181"/>
      <c r="S151" s="181"/>
      <c r="T151" s="181"/>
      <c r="U151" s="181"/>
      <c r="V151" s="181"/>
      <c r="W151" s="181"/>
      <c r="X151" s="181"/>
      <c r="Y151" s="181"/>
      <c r="Z151" s="181"/>
      <c r="AA151" s="181"/>
    </row>
    <row r="152" spans="2:27" ht="15">
      <c r="B152" s="178"/>
      <c r="C152" s="181"/>
      <c r="D152" s="181"/>
      <c r="E152" s="181"/>
      <c r="F152" s="181"/>
      <c r="G152" s="181"/>
      <c r="H152" s="181"/>
      <c r="I152" s="181"/>
      <c r="J152" s="181"/>
      <c r="K152" s="181"/>
      <c r="L152" s="181"/>
      <c r="M152" s="181"/>
      <c r="N152" s="181"/>
      <c r="O152" s="181"/>
      <c r="P152" s="181"/>
      <c r="Q152" s="181"/>
      <c r="R152" s="181"/>
      <c r="S152" s="181"/>
      <c r="T152" s="181"/>
      <c r="U152" s="181"/>
      <c r="V152" s="181"/>
      <c r="W152" s="181"/>
      <c r="X152" s="181"/>
      <c r="Y152" s="181"/>
      <c r="Z152" s="181"/>
      <c r="AA152" s="181"/>
    </row>
    <row r="153" spans="2:27" ht="15">
      <c r="B153" s="178"/>
      <c r="C153" s="181"/>
      <c r="D153" s="181"/>
      <c r="E153" s="181"/>
      <c r="F153" s="181"/>
      <c r="G153" s="181"/>
      <c r="H153" s="181"/>
      <c r="I153" s="181"/>
      <c r="J153" s="181"/>
      <c r="K153" s="181"/>
      <c r="L153" s="181"/>
      <c r="M153" s="181"/>
      <c r="N153" s="181"/>
      <c r="O153" s="181"/>
      <c r="P153" s="181"/>
      <c r="Q153" s="181"/>
      <c r="R153" s="181"/>
      <c r="S153" s="181"/>
      <c r="T153" s="181"/>
      <c r="U153" s="181"/>
      <c r="V153" s="181"/>
      <c r="W153" s="181"/>
      <c r="X153" s="181"/>
      <c r="Y153" s="181"/>
      <c r="Z153" s="181"/>
      <c r="AA153" s="181"/>
    </row>
    <row r="154" spans="2:27" ht="15">
      <c r="B154" s="178"/>
      <c r="C154" s="181"/>
      <c r="D154" s="181"/>
      <c r="E154" s="181"/>
      <c r="F154" s="181"/>
      <c r="G154" s="181"/>
      <c r="H154" s="181"/>
      <c r="I154" s="181"/>
      <c r="J154" s="181"/>
      <c r="K154" s="181"/>
      <c r="L154" s="181"/>
      <c r="M154" s="181"/>
      <c r="N154" s="181"/>
      <c r="O154" s="181"/>
      <c r="P154" s="181"/>
      <c r="Q154" s="181"/>
      <c r="R154" s="181"/>
      <c r="S154" s="181"/>
      <c r="T154" s="181"/>
      <c r="U154" s="181"/>
      <c r="V154" s="181"/>
      <c r="W154" s="181"/>
      <c r="X154" s="181"/>
      <c r="Y154" s="181"/>
      <c r="Z154" s="181"/>
      <c r="AA154" s="181"/>
    </row>
    <row r="155" spans="2:27" ht="15">
      <c r="B155" s="178"/>
      <c r="C155" s="181"/>
      <c r="D155" s="181"/>
      <c r="E155" s="181"/>
      <c r="F155" s="181"/>
      <c r="G155" s="181"/>
      <c r="H155" s="181"/>
      <c r="I155" s="181"/>
      <c r="J155" s="181"/>
      <c r="K155" s="181"/>
      <c r="L155" s="181"/>
      <c r="M155" s="181"/>
      <c r="N155" s="181"/>
      <c r="O155" s="181"/>
      <c r="P155" s="181"/>
      <c r="Q155" s="181"/>
      <c r="R155" s="181"/>
      <c r="S155" s="181"/>
      <c r="T155" s="181"/>
      <c r="U155" s="181"/>
      <c r="V155" s="181"/>
      <c r="W155" s="181"/>
      <c r="X155" s="181"/>
      <c r="Y155" s="181"/>
      <c r="Z155" s="181"/>
      <c r="AA155" s="181"/>
    </row>
    <row r="156" spans="2:27" ht="15">
      <c r="B156" s="178"/>
      <c r="C156" s="181"/>
      <c r="D156" s="181"/>
      <c r="E156" s="181"/>
      <c r="F156" s="181"/>
      <c r="G156" s="181"/>
      <c r="H156" s="181"/>
      <c r="I156" s="181"/>
      <c r="J156" s="181"/>
      <c r="K156" s="181"/>
      <c r="L156" s="181"/>
      <c r="M156" s="181"/>
      <c r="N156" s="181"/>
      <c r="O156" s="181"/>
      <c r="P156" s="181"/>
      <c r="Q156" s="181"/>
      <c r="R156" s="181"/>
      <c r="S156" s="181"/>
      <c r="T156" s="181"/>
      <c r="U156" s="181"/>
      <c r="V156" s="181"/>
      <c r="W156" s="181"/>
      <c r="X156" s="181"/>
      <c r="Y156" s="181"/>
      <c r="Z156" s="181"/>
      <c r="AA156" s="181"/>
    </row>
    <row r="157" spans="2:27" ht="15">
      <c r="B157" s="178"/>
      <c r="C157" s="181"/>
      <c r="D157" s="181"/>
      <c r="E157" s="181"/>
      <c r="F157" s="181"/>
      <c r="G157" s="181"/>
      <c r="H157" s="181"/>
      <c r="I157" s="181"/>
      <c r="J157" s="181"/>
      <c r="K157" s="181"/>
      <c r="L157" s="181"/>
      <c r="M157" s="181"/>
      <c r="N157" s="181"/>
      <c r="O157" s="181"/>
      <c r="P157" s="181"/>
      <c r="Q157" s="181"/>
      <c r="R157" s="181"/>
      <c r="S157" s="181"/>
      <c r="T157" s="181"/>
      <c r="U157" s="181"/>
      <c r="V157" s="181"/>
      <c r="W157" s="181"/>
      <c r="X157" s="181"/>
      <c r="Y157" s="181"/>
      <c r="Z157" s="181"/>
      <c r="AA157" s="181"/>
    </row>
    <row r="158" spans="2:27" ht="15">
      <c r="B158" s="178"/>
      <c r="C158" s="181"/>
      <c r="D158" s="181"/>
      <c r="E158" s="181"/>
      <c r="F158" s="181"/>
      <c r="G158" s="181"/>
      <c r="H158" s="181"/>
      <c r="I158" s="181"/>
      <c r="J158" s="181"/>
      <c r="K158" s="181"/>
      <c r="L158" s="181"/>
      <c r="M158" s="181"/>
      <c r="N158" s="181"/>
      <c r="O158" s="181"/>
      <c r="P158" s="181"/>
      <c r="Q158" s="181"/>
      <c r="R158" s="181"/>
      <c r="S158" s="181"/>
      <c r="T158" s="181"/>
      <c r="U158" s="181"/>
      <c r="V158" s="181"/>
      <c r="W158" s="181"/>
      <c r="X158" s="181"/>
      <c r="Y158" s="181"/>
      <c r="Z158" s="181"/>
      <c r="AA158" s="181"/>
    </row>
    <row r="159" spans="2:27" ht="15">
      <c r="B159" s="178"/>
      <c r="C159" s="181"/>
      <c r="D159" s="181"/>
      <c r="E159" s="181"/>
      <c r="F159" s="181"/>
      <c r="G159" s="181"/>
      <c r="H159" s="181"/>
      <c r="I159" s="181"/>
      <c r="J159" s="181"/>
      <c r="K159" s="181"/>
      <c r="L159" s="181"/>
      <c r="M159" s="181"/>
      <c r="N159" s="181"/>
      <c r="O159" s="181"/>
      <c r="P159" s="181"/>
      <c r="Q159" s="181"/>
      <c r="R159" s="181"/>
      <c r="S159" s="181"/>
      <c r="T159" s="181"/>
      <c r="U159" s="181"/>
      <c r="V159" s="181"/>
      <c r="W159" s="181"/>
      <c r="X159" s="181"/>
      <c r="Y159" s="181"/>
      <c r="Z159" s="181"/>
      <c r="AA159" s="181"/>
    </row>
    <row r="160" spans="2:27" ht="15">
      <c r="B160" s="178"/>
      <c r="C160" s="181"/>
      <c r="D160" s="181"/>
      <c r="E160" s="181"/>
      <c r="F160" s="181"/>
      <c r="G160" s="181"/>
      <c r="H160" s="181"/>
      <c r="I160" s="181"/>
      <c r="J160" s="181"/>
      <c r="K160" s="181"/>
      <c r="L160" s="181"/>
      <c r="M160" s="181"/>
      <c r="N160" s="181"/>
      <c r="O160" s="181"/>
      <c r="P160" s="181"/>
      <c r="Q160" s="181"/>
      <c r="R160" s="181"/>
      <c r="S160" s="181"/>
      <c r="T160" s="181"/>
      <c r="U160" s="181"/>
      <c r="V160" s="181"/>
      <c r="W160" s="181"/>
      <c r="X160" s="181"/>
      <c r="Y160" s="181"/>
      <c r="Z160" s="181"/>
      <c r="AA160" s="181"/>
    </row>
    <row r="161" spans="2:27" ht="15">
      <c r="B161" s="178"/>
      <c r="C161" s="181"/>
      <c r="D161" s="181"/>
      <c r="E161" s="181"/>
      <c r="F161" s="181"/>
      <c r="G161" s="181"/>
      <c r="H161" s="181"/>
      <c r="I161" s="181"/>
      <c r="J161" s="181"/>
      <c r="K161" s="181"/>
      <c r="L161" s="181"/>
      <c r="M161" s="181"/>
      <c r="N161" s="181"/>
      <c r="O161" s="181"/>
      <c r="P161" s="181"/>
      <c r="Q161" s="181"/>
      <c r="R161" s="181"/>
      <c r="S161" s="181"/>
      <c r="T161" s="181"/>
      <c r="U161" s="181"/>
      <c r="V161" s="181"/>
      <c r="W161" s="181"/>
      <c r="X161" s="181"/>
      <c r="Y161" s="181"/>
      <c r="Z161" s="181"/>
      <c r="AA161" s="181"/>
    </row>
    <row r="162" spans="2:27" ht="15">
      <c r="B162" s="178"/>
      <c r="C162" s="181"/>
      <c r="D162" s="181"/>
      <c r="E162" s="181"/>
      <c r="F162" s="181"/>
      <c r="G162" s="181"/>
      <c r="H162" s="181"/>
      <c r="I162" s="181"/>
      <c r="J162" s="181"/>
      <c r="K162" s="181"/>
      <c r="L162" s="181"/>
      <c r="M162" s="181"/>
      <c r="N162" s="181"/>
      <c r="O162" s="181"/>
      <c r="P162" s="181"/>
      <c r="Q162" s="181"/>
      <c r="R162" s="181"/>
      <c r="S162" s="181"/>
      <c r="T162" s="181"/>
      <c r="U162" s="181"/>
      <c r="V162" s="181"/>
      <c r="W162" s="181"/>
      <c r="X162" s="181"/>
      <c r="Y162" s="181"/>
      <c r="Z162" s="181"/>
      <c r="AA162" s="181"/>
    </row>
    <row r="163" spans="2:27" ht="15">
      <c r="B163" s="178"/>
      <c r="C163" s="181"/>
      <c r="D163" s="181"/>
      <c r="E163" s="181"/>
      <c r="F163" s="181"/>
      <c r="G163" s="181"/>
      <c r="H163" s="181"/>
      <c r="I163" s="181"/>
      <c r="J163" s="181"/>
      <c r="K163" s="181"/>
      <c r="L163" s="181"/>
      <c r="M163" s="181"/>
      <c r="N163" s="181"/>
      <c r="O163" s="181"/>
      <c r="P163" s="181"/>
      <c r="Q163" s="181"/>
      <c r="R163" s="181"/>
      <c r="S163" s="181"/>
      <c r="T163" s="181"/>
      <c r="U163" s="181"/>
      <c r="V163" s="181"/>
      <c r="W163" s="181"/>
      <c r="X163" s="181"/>
      <c r="Y163" s="181"/>
      <c r="Z163" s="181"/>
      <c r="AA163" s="181"/>
    </row>
    <row r="164" spans="2:27" ht="15">
      <c r="B164" s="178"/>
      <c r="C164" s="181"/>
      <c r="D164" s="181"/>
      <c r="E164" s="181"/>
      <c r="F164" s="181"/>
      <c r="G164" s="181"/>
      <c r="H164" s="181"/>
      <c r="I164" s="181"/>
      <c r="J164" s="181"/>
      <c r="K164" s="181"/>
      <c r="L164" s="181"/>
      <c r="M164" s="181"/>
      <c r="N164" s="181"/>
      <c r="O164" s="181"/>
      <c r="P164" s="181"/>
      <c r="Q164" s="181"/>
      <c r="R164" s="181"/>
      <c r="S164" s="181"/>
      <c r="T164" s="181"/>
      <c r="U164" s="181"/>
      <c r="V164" s="181"/>
      <c r="W164" s="181"/>
      <c r="X164" s="181"/>
      <c r="Y164" s="181"/>
      <c r="Z164" s="181"/>
      <c r="AA164" s="181"/>
    </row>
    <row r="165" spans="2:27" ht="15">
      <c r="B165" s="178"/>
      <c r="C165" s="181"/>
      <c r="D165" s="181"/>
      <c r="E165" s="181"/>
      <c r="F165" s="181"/>
      <c r="G165" s="181"/>
      <c r="H165" s="181"/>
      <c r="I165" s="181"/>
      <c r="J165" s="181"/>
      <c r="K165" s="181"/>
      <c r="L165" s="181"/>
      <c r="M165" s="181"/>
      <c r="N165" s="181"/>
      <c r="O165" s="181"/>
      <c r="P165" s="181"/>
      <c r="Q165" s="181"/>
      <c r="R165" s="181"/>
      <c r="S165" s="181"/>
      <c r="T165" s="181"/>
      <c r="U165" s="181"/>
      <c r="V165" s="181"/>
      <c r="W165" s="181"/>
      <c r="X165" s="181"/>
      <c r="Y165" s="181"/>
      <c r="Z165" s="181"/>
      <c r="AA165" s="181"/>
    </row>
    <row r="166" spans="2:27" ht="15">
      <c r="B166" s="178"/>
      <c r="C166" s="181"/>
      <c r="D166" s="181"/>
      <c r="E166" s="181"/>
      <c r="F166" s="181"/>
      <c r="G166" s="181"/>
      <c r="H166" s="181"/>
      <c r="I166" s="181"/>
      <c r="J166" s="181"/>
      <c r="K166" s="181"/>
      <c r="L166" s="181"/>
      <c r="M166" s="181"/>
      <c r="N166" s="181"/>
      <c r="O166" s="181"/>
      <c r="P166" s="181"/>
      <c r="Q166" s="181"/>
      <c r="R166" s="181"/>
      <c r="S166" s="181"/>
      <c r="T166" s="181"/>
      <c r="U166" s="181"/>
      <c r="V166" s="181"/>
      <c r="W166" s="181"/>
      <c r="X166" s="181"/>
      <c r="Y166" s="181"/>
      <c r="Z166" s="181"/>
      <c r="AA166" s="181"/>
    </row>
    <row r="167" spans="2:27" ht="15">
      <c r="B167" s="178"/>
      <c r="C167" s="181"/>
      <c r="D167" s="181"/>
      <c r="E167" s="181"/>
      <c r="F167" s="181"/>
      <c r="G167" s="181"/>
      <c r="H167" s="181"/>
      <c r="I167" s="181"/>
      <c r="J167" s="181"/>
      <c r="K167" s="181"/>
      <c r="L167" s="181"/>
      <c r="M167" s="181"/>
      <c r="N167" s="181"/>
      <c r="O167" s="181"/>
      <c r="P167" s="181"/>
      <c r="Q167" s="181"/>
      <c r="R167" s="181"/>
      <c r="S167" s="181"/>
      <c r="T167" s="181"/>
      <c r="U167" s="181"/>
      <c r="V167" s="181"/>
      <c r="W167" s="181"/>
      <c r="X167" s="181"/>
      <c r="Y167" s="181"/>
      <c r="Z167" s="181"/>
      <c r="AA167" s="181"/>
    </row>
    <row r="168" spans="2:27" ht="15">
      <c r="B168" s="178"/>
      <c r="C168" s="181"/>
      <c r="D168" s="181"/>
      <c r="E168" s="181"/>
      <c r="F168" s="181"/>
      <c r="G168" s="181"/>
      <c r="H168" s="181"/>
      <c r="I168" s="181"/>
      <c r="J168" s="181"/>
      <c r="K168" s="181"/>
      <c r="L168" s="181"/>
      <c r="M168" s="181"/>
      <c r="N168" s="181"/>
      <c r="O168" s="181"/>
      <c r="P168" s="181"/>
      <c r="Q168" s="181"/>
      <c r="R168" s="181"/>
      <c r="S168" s="181"/>
      <c r="T168" s="181"/>
      <c r="U168" s="181"/>
      <c r="V168" s="181"/>
      <c r="W168" s="181"/>
      <c r="X168" s="181"/>
      <c r="Y168" s="181"/>
      <c r="Z168" s="181"/>
      <c r="AA168" s="181"/>
    </row>
    <row r="169" spans="2:27" ht="15">
      <c r="B169" s="178"/>
      <c r="C169" s="181"/>
      <c r="D169" s="181"/>
      <c r="E169" s="181"/>
      <c r="F169" s="181"/>
      <c r="G169" s="181"/>
      <c r="H169" s="181"/>
      <c r="I169" s="181"/>
      <c r="J169" s="181"/>
      <c r="K169" s="181"/>
      <c r="L169" s="181"/>
      <c r="M169" s="181"/>
      <c r="N169" s="181"/>
      <c r="O169" s="181"/>
      <c r="P169" s="181"/>
      <c r="Q169" s="181"/>
      <c r="R169" s="181"/>
      <c r="S169" s="181"/>
      <c r="T169" s="181"/>
      <c r="U169" s="181"/>
      <c r="V169" s="181"/>
      <c r="W169" s="181"/>
      <c r="X169" s="181"/>
      <c r="Y169" s="181"/>
      <c r="Z169" s="181"/>
      <c r="AA169" s="181"/>
    </row>
    <row r="170" spans="2:27" ht="15">
      <c r="B170" s="178"/>
      <c r="C170" s="181"/>
      <c r="D170" s="181"/>
      <c r="E170" s="181"/>
      <c r="F170" s="181"/>
      <c r="G170" s="181"/>
      <c r="H170" s="181"/>
      <c r="I170" s="181"/>
      <c r="J170" s="181"/>
      <c r="K170" s="181"/>
      <c r="L170" s="181"/>
      <c r="M170" s="181"/>
      <c r="N170" s="181"/>
      <c r="O170" s="181"/>
      <c r="P170" s="181"/>
      <c r="Q170" s="181"/>
      <c r="R170" s="181"/>
      <c r="S170" s="181"/>
      <c r="T170" s="181"/>
      <c r="U170" s="181"/>
      <c r="V170" s="181"/>
      <c r="W170" s="181"/>
      <c r="X170" s="181"/>
      <c r="Y170" s="181"/>
      <c r="Z170" s="181"/>
      <c r="AA170" s="181"/>
    </row>
    <row r="171" spans="2:27" ht="15">
      <c r="B171" s="178"/>
      <c r="C171" s="181"/>
      <c r="D171" s="181"/>
      <c r="E171" s="181"/>
      <c r="F171" s="181"/>
      <c r="G171" s="181"/>
      <c r="H171" s="181"/>
      <c r="I171" s="181"/>
      <c r="J171" s="181"/>
      <c r="K171" s="181"/>
      <c r="L171" s="181"/>
      <c r="M171" s="181"/>
      <c r="N171" s="181"/>
      <c r="O171" s="181"/>
      <c r="P171" s="181"/>
      <c r="Q171" s="181"/>
      <c r="R171" s="181"/>
      <c r="S171" s="181"/>
      <c r="T171" s="181"/>
      <c r="U171" s="181"/>
      <c r="V171" s="181"/>
      <c r="W171" s="181"/>
      <c r="X171" s="181"/>
      <c r="Y171" s="181"/>
      <c r="Z171" s="181"/>
      <c r="AA171" s="181"/>
    </row>
    <row r="172" spans="2:27" ht="15">
      <c r="B172" s="178"/>
      <c r="C172" s="181"/>
      <c r="D172" s="181"/>
      <c r="E172" s="181"/>
      <c r="F172" s="181"/>
      <c r="G172" s="181"/>
      <c r="H172" s="181"/>
      <c r="I172" s="181"/>
      <c r="J172" s="181"/>
      <c r="K172" s="181"/>
      <c r="L172" s="181"/>
      <c r="M172" s="181"/>
      <c r="N172" s="181"/>
      <c r="O172" s="181"/>
      <c r="P172" s="181"/>
      <c r="Q172" s="181"/>
      <c r="R172" s="181"/>
      <c r="S172" s="181"/>
      <c r="T172" s="181"/>
      <c r="U172" s="181"/>
      <c r="V172" s="181"/>
      <c r="W172" s="181"/>
      <c r="X172" s="181"/>
      <c r="Y172" s="181"/>
      <c r="Z172" s="181"/>
      <c r="AA172" s="181"/>
    </row>
    <row r="173" spans="2:27" ht="15">
      <c r="B173" s="178"/>
      <c r="C173" s="181"/>
      <c r="D173" s="181"/>
      <c r="E173" s="181"/>
      <c r="F173" s="181"/>
      <c r="G173" s="181"/>
      <c r="H173" s="181"/>
      <c r="I173" s="181"/>
      <c r="J173" s="181"/>
      <c r="K173" s="181"/>
      <c r="L173" s="181"/>
      <c r="M173" s="181"/>
      <c r="N173" s="181"/>
      <c r="O173" s="181"/>
      <c r="P173" s="181"/>
      <c r="Q173" s="181"/>
      <c r="R173" s="181"/>
      <c r="S173" s="181"/>
      <c r="T173" s="181"/>
      <c r="U173" s="181"/>
      <c r="V173" s="181"/>
      <c r="W173" s="181"/>
      <c r="X173" s="181"/>
      <c r="Y173" s="181"/>
      <c r="Z173" s="181"/>
      <c r="AA173" s="181"/>
    </row>
    <row r="174" spans="2:27" ht="15">
      <c r="B174" s="178"/>
      <c r="C174" s="181"/>
      <c r="D174" s="181"/>
      <c r="E174" s="181"/>
      <c r="F174" s="181"/>
      <c r="G174" s="181"/>
      <c r="H174" s="181"/>
      <c r="I174" s="181"/>
      <c r="J174" s="181"/>
      <c r="K174" s="181"/>
      <c r="L174" s="181"/>
      <c r="M174" s="181"/>
      <c r="N174" s="181"/>
      <c r="O174" s="181"/>
      <c r="P174" s="181"/>
      <c r="Q174" s="181"/>
      <c r="R174" s="181"/>
      <c r="S174" s="181"/>
      <c r="T174" s="181"/>
      <c r="U174" s="181"/>
      <c r="V174" s="181"/>
      <c r="W174" s="181"/>
      <c r="X174" s="181"/>
      <c r="Y174" s="181"/>
      <c r="Z174" s="181"/>
      <c r="AA174" s="181"/>
    </row>
    <row r="175" spans="2:27" ht="15">
      <c r="B175" s="178"/>
      <c r="C175" s="181"/>
      <c r="D175" s="181"/>
      <c r="E175" s="181"/>
      <c r="F175" s="181"/>
      <c r="G175" s="181"/>
      <c r="H175" s="181"/>
      <c r="I175" s="181"/>
      <c r="J175" s="181"/>
      <c r="K175" s="181"/>
      <c r="L175" s="181"/>
      <c r="M175" s="181"/>
      <c r="N175" s="181"/>
      <c r="O175" s="181"/>
      <c r="P175" s="181"/>
      <c r="Q175" s="181"/>
      <c r="R175" s="181"/>
      <c r="S175" s="181"/>
      <c r="T175" s="181"/>
      <c r="U175" s="181"/>
      <c r="V175" s="181"/>
      <c r="W175" s="181"/>
      <c r="X175" s="181"/>
      <c r="Y175" s="181"/>
      <c r="Z175" s="181"/>
      <c r="AA175" s="181"/>
    </row>
    <row r="176" spans="2:27" ht="15">
      <c r="B176" s="178"/>
      <c r="C176" s="181"/>
      <c r="D176" s="181"/>
      <c r="E176" s="181"/>
      <c r="F176" s="181"/>
      <c r="G176" s="181"/>
      <c r="H176" s="181"/>
      <c r="I176" s="181"/>
      <c r="J176" s="181"/>
      <c r="K176" s="181"/>
      <c r="L176" s="181"/>
      <c r="M176" s="181"/>
      <c r="N176" s="181"/>
      <c r="O176" s="181"/>
      <c r="P176" s="181"/>
      <c r="Q176" s="181"/>
      <c r="R176" s="181"/>
      <c r="S176" s="181"/>
      <c r="T176" s="181"/>
      <c r="U176" s="181"/>
      <c r="V176" s="181"/>
      <c r="W176" s="181"/>
      <c r="X176" s="181"/>
      <c r="Y176" s="181"/>
      <c r="Z176" s="181"/>
      <c r="AA176" s="181"/>
    </row>
    <row r="177" spans="2:27" ht="15">
      <c r="B177" s="178"/>
      <c r="C177" s="181"/>
      <c r="D177" s="181"/>
      <c r="E177" s="181"/>
      <c r="F177" s="181"/>
      <c r="G177" s="181"/>
      <c r="H177" s="181"/>
      <c r="I177" s="181"/>
      <c r="J177" s="181"/>
      <c r="K177" s="181"/>
      <c r="L177" s="181"/>
      <c r="M177" s="181"/>
      <c r="N177" s="181"/>
      <c r="O177" s="181"/>
      <c r="P177" s="181"/>
      <c r="Q177" s="181"/>
      <c r="R177" s="181"/>
      <c r="S177" s="181"/>
      <c r="T177" s="181"/>
      <c r="U177" s="181"/>
      <c r="V177" s="181"/>
      <c r="W177" s="181"/>
      <c r="X177" s="181"/>
      <c r="Y177" s="181"/>
      <c r="Z177" s="181"/>
      <c r="AA177" s="181"/>
    </row>
    <row r="178" spans="2:27" ht="15">
      <c r="B178" s="178"/>
      <c r="C178" s="181"/>
      <c r="D178" s="181"/>
      <c r="E178" s="181"/>
      <c r="F178" s="181"/>
      <c r="G178" s="181"/>
      <c r="H178" s="181"/>
      <c r="I178" s="181"/>
      <c r="J178" s="181"/>
      <c r="K178" s="181"/>
      <c r="L178" s="181"/>
      <c r="M178" s="181"/>
      <c r="N178" s="181"/>
      <c r="O178" s="181"/>
      <c r="P178" s="181"/>
      <c r="Q178" s="181"/>
      <c r="R178" s="181"/>
      <c r="S178" s="181"/>
      <c r="T178" s="181"/>
      <c r="U178" s="181"/>
      <c r="V178" s="181"/>
      <c r="W178" s="181"/>
      <c r="X178" s="181"/>
      <c r="Y178" s="181"/>
      <c r="Z178" s="181"/>
      <c r="AA178" s="181"/>
    </row>
    <row r="179" spans="2:27" ht="15">
      <c r="B179" s="178"/>
      <c r="C179" s="181"/>
      <c r="D179" s="181"/>
      <c r="E179" s="181"/>
      <c r="F179" s="181"/>
      <c r="G179" s="181"/>
      <c r="H179" s="181"/>
      <c r="I179" s="181"/>
      <c r="J179" s="181"/>
      <c r="K179" s="181"/>
      <c r="L179" s="181"/>
      <c r="M179" s="181"/>
      <c r="N179" s="181"/>
      <c r="O179" s="181"/>
      <c r="P179" s="181"/>
      <c r="Q179" s="181"/>
      <c r="R179" s="181"/>
      <c r="S179" s="181"/>
      <c r="T179" s="181"/>
      <c r="U179" s="181"/>
      <c r="V179" s="181"/>
      <c r="W179" s="181"/>
      <c r="X179" s="181"/>
      <c r="Y179" s="181"/>
      <c r="Z179" s="181"/>
      <c r="AA179" s="181"/>
    </row>
    <row r="180" spans="2:27" ht="15">
      <c r="B180" s="178"/>
      <c r="C180" s="181"/>
      <c r="D180" s="181"/>
      <c r="E180" s="181"/>
      <c r="F180" s="181"/>
      <c r="G180" s="181"/>
      <c r="H180" s="181"/>
      <c r="I180" s="181"/>
      <c r="J180" s="181"/>
      <c r="K180" s="181"/>
      <c r="L180" s="181"/>
      <c r="M180" s="181"/>
      <c r="N180" s="181"/>
      <c r="O180" s="181"/>
      <c r="P180" s="181"/>
      <c r="Q180" s="181"/>
      <c r="R180" s="181"/>
      <c r="S180" s="181"/>
      <c r="T180" s="181"/>
      <c r="U180" s="181"/>
      <c r="V180" s="181"/>
      <c r="W180" s="181"/>
      <c r="X180" s="181"/>
      <c r="Y180" s="181"/>
      <c r="Z180" s="181"/>
      <c r="AA180" s="181"/>
    </row>
    <row r="181" spans="2:27" ht="15">
      <c r="B181" s="178"/>
      <c r="C181" s="181"/>
      <c r="D181" s="181"/>
      <c r="E181" s="181"/>
      <c r="F181" s="181"/>
      <c r="G181" s="181"/>
      <c r="H181" s="181"/>
      <c r="I181" s="181"/>
      <c r="J181" s="181"/>
      <c r="K181" s="181"/>
      <c r="L181" s="181"/>
      <c r="M181" s="181"/>
      <c r="N181" s="181"/>
      <c r="O181" s="181"/>
      <c r="P181" s="181"/>
      <c r="Q181" s="181"/>
      <c r="R181" s="181"/>
      <c r="S181" s="181"/>
      <c r="T181" s="181"/>
      <c r="U181" s="181"/>
      <c r="V181" s="181"/>
      <c r="W181" s="181"/>
      <c r="X181" s="181"/>
      <c r="Y181" s="181"/>
      <c r="Z181" s="181"/>
      <c r="AA181" s="181"/>
    </row>
    <row r="182" spans="2:27" ht="15">
      <c r="B182" s="178"/>
      <c r="C182" s="181"/>
      <c r="D182" s="181"/>
      <c r="E182" s="181"/>
      <c r="F182" s="181"/>
      <c r="G182" s="181"/>
      <c r="H182" s="181"/>
      <c r="I182" s="181"/>
      <c r="J182" s="181"/>
      <c r="K182" s="181"/>
      <c r="L182" s="181"/>
      <c r="M182" s="181"/>
      <c r="N182" s="181"/>
      <c r="O182" s="181"/>
      <c r="P182" s="181"/>
      <c r="Q182" s="181"/>
      <c r="R182" s="181"/>
      <c r="S182" s="181"/>
      <c r="T182" s="181"/>
      <c r="U182" s="181"/>
      <c r="V182" s="181"/>
      <c r="W182" s="181"/>
      <c r="X182" s="181"/>
      <c r="Y182" s="181"/>
      <c r="Z182" s="181"/>
      <c r="AA182" s="181"/>
    </row>
    <row r="183" spans="2:27" ht="15">
      <c r="B183" s="178"/>
      <c r="C183" s="181"/>
      <c r="D183" s="181"/>
      <c r="E183" s="181"/>
      <c r="F183" s="181"/>
      <c r="G183" s="181"/>
      <c r="H183" s="181"/>
      <c r="I183" s="181"/>
      <c r="J183" s="181"/>
      <c r="K183" s="181"/>
      <c r="L183" s="181"/>
      <c r="M183" s="181"/>
      <c r="N183" s="181"/>
      <c r="O183" s="181"/>
      <c r="P183" s="181"/>
      <c r="Q183" s="181"/>
      <c r="R183" s="181"/>
      <c r="S183" s="181"/>
      <c r="T183" s="181"/>
      <c r="U183" s="181"/>
      <c r="V183" s="181"/>
      <c r="W183" s="181"/>
      <c r="X183" s="181"/>
      <c r="Y183" s="181"/>
      <c r="Z183" s="181"/>
      <c r="AA183" s="181"/>
    </row>
    <row r="184" spans="2:27" ht="15">
      <c r="B184" s="178"/>
      <c r="C184" s="181"/>
      <c r="D184" s="181"/>
      <c r="E184" s="181"/>
      <c r="F184" s="181"/>
      <c r="G184" s="181"/>
      <c r="H184" s="181"/>
      <c r="I184" s="181"/>
      <c r="J184" s="181"/>
      <c r="K184" s="181"/>
      <c r="L184" s="181"/>
      <c r="M184" s="181"/>
      <c r="N184" s="181"/>
      <c r="O184" s="181"/>
      <c r="P184" s="181"/>
      <c r="Q184" s="181"/>
      <c r="R184" s="181"/>
      <c r="S184" s="181"/>
      <c r="T184" s="181"/>
      <c r="U184" s="181"/>
      <c r="V184" s="181"/>
      <c r="W184" s="181"/>
      <c r="X184" s="181"/>
      <c r="Y184" s="181"/>
      <c r="Z184" s="181"/>
      <c r="AA184" s="181"/>
    </row>
    <row r="185" spans="2:27" ht="15">
      <c r="B185" s="178"/>
      <c r="C185" s="181"/>
      <c r="D185" s="181"/>
      <c r="E185" s="181"/>
      <c r="F185" s="181"/>
      <c r="G185" s="181"/>
      <c r="H185" s="181"/>
      <c r="I185" s="181"/>
      <c r="J185" s="181"/>
      <c r="K185" s="181"/>
      <c r="L185" s="181"/>
      <c r="M185" s="181"/>
      <c r="N185" s="181"/>
      <c r="O185" s="181"/>
      <c r="P185" s="181"/>
      <c r="Q185" s="181"/>
      <c r="R185" s="181"/>
      <c r="S185" s="181"/>
      <c r="T185" s="181"/>
      <c r="U185" s="181"/>
      <c r="V185" s="181"/>
      <c r="W185" s="181"/>
      <c r="X185" s="181"/>
      <c r="Y185" s="181"/>
      <c r="Z185" s="181"/>
      <c r="AA185" s="181"/>
    </row>
    <row r="186" spans="2:27" ht="15">
      <c r="B186" s="178"/>
      <c r="C186" s="181"/>
      <c r="D186" s="181"/>
      <c r="E186" s="181"/>
      <c r="F186" s="181"/>
      <c r="G186" s="181"/>
      <c r="H186" s="181"/>
      <c r="I186" s="181"/>
      <c r="J186" s="181"/>
      <c r="K186" s="181"/>
      <c r="L186" s="181"/>
      <c r="M186" s="181"/>
      <c r="N186" s="181"/>
      <c r="O186" s="181"/>
      <c r="P186" s="181"/>
      <c r="Q186" s="181"/>
      <c r="R186" s="181"/>
      <c r="S186" s="181"/>
      <c r="T186" s="181"/>
      <c r="U186" s="181"/>
      <c r="V186" s="181"/>
      <c r="W186" s="181"/>
      <c r="X186" s="181"/>
      <c r="Y186" s="181"/>
      <c r="Z186" s="181"/>
      <c r="AA186" s="181"/>
    </row>
    <row r="187" spans="2:27" ht="15">
      <c r="B187" s="178"/>
      <c r="C187" s="181"/>
      <c r="D187" s="181"/>
      <c r="E187" s="181"/>
      <c r="F187" s="181"/>
      <c r="G187" s="181"/>
      <c r="H187" s="181"/>
      <c r="I187" s="181"/>
      <c r="J187" s="181"/>
      <c r="K187" s="181"/>
      <c r="L187" s="181"/>
      <c r="M187" s="181"/>
      <c r="N187" s="181"/>
      <c r="O187" s="181"/>
      <c r="P187" s="181"/>
      <c r="Q187" s="181"/>
      <c r="R187" s="181"/>
      <c r="S187" s="181"/>
      <c r="T187" s="181"/>
      <c r="U187" s="181"/>
      <c r="V187" s="181"/>
      <c r="W187" s="181"/>
      <c r="X187" s="181"/>
      <c r="Y187" s="181"/>
      <c r="Z187" s="181"/>
      <c r="AA187" s="181"/>
    </row>
    <row r="188" spans="2:27" ht="15">
      <c r="B188" s="178"/>
      <c r="C188" s="181"/>
      <c r="D188" s="181"/>
      <c r="E188" s="181"/>
      <c r="F188" s="181"/>
      <c r="G188" s="181"/>
      <c r="H188" s="181"/>
      <c r="I188" s="181"/>
      <c r="J188" s="181"/>
      <c r="K188" s="181"/>
      <c r="L188" s="181"/>
      <c r="M188" s="181"/>
      <c r="N188" s="181"/>
      <c r="O188" s="181"/>
      <c r="P188" s="181"/>
      <c r="Q188" s="181"/>
      <c r="R188" s="181"/>
      <c r="S188" s="181"/>
      <c r="T188" s="181"/>
      <c r="U188" s="181"/>
      <c r="V188" s="181"/>
      <c r="W188" s="181"/>
      <c r="X188" s="181"/>
      <c r="Y188" s="181"/>
      <c r="Z188" s="181"/>
      <c r="AA188" s="181"/>
    </row>
    <row r="189" spans="2:27" ht="15">
      <c r="B189" s="178"/>
      <c r="C189" s="181"/>
      <c r="D189" s="181"/>
      <c r="E189" s="181"/>
      <c r="F189" s="181"/>
      <c r="G189" s="181"/>
      <c r="H189" s="181"/>
      <c r="I189" s="181"/>
      <c r="J189" s="181"/>
      <c r="K189" s="181"/>
      <c r="L189" s="181"/>
      <c r="M189" s="181"/>
      <c r="N189" s="181"/>
      <c r="O189" s="181"/>
      <c r="P189" s="181"/>
      <c r="Q189" s="181"/>
      <c r="R189" s="181"/>
      <c r="S189" s="181"/>
      <c r="T189" s="181"/>
      <c r="U189" s="181"/>
      <c r="V189" s="181"/>
      <c r="W189" s="181"/>
      <c r="X189" s="181"/>
      <c r="Y189" s="181"/>
      <c r="Z189" s="181"/>
      <c r="AA189" s="181"/>
    </row>
    <row r="190" spans="2:27" ht="15">
      <c r="B190" s="178"/>
      <c r="C190" s="181"/>
      <c r="D190" s="181"/>
      <c r="E190" s="181"/>
      <c r="F190" s="181"/>
      <c r="G190" s="181"/>
      <c r="H190" s="181"/>
      <c r="I190" s="181"/>
      <c r="J190" s="181"/>
      <c r="K190" s="181"/>
      <c r="L190" s="181"/>
      <c r="M190" s="181"/>
      <c r="N190" s="181"/>
      <c r="O190" s="181"/>
      <c r="P190" s="181"/>
      <c r="Q190" s="181"/>
      <c r="R190" s="181"/>
      <c r="S190" s="181"/>
      <c r="T190" s="181"/>
      <c r="U190" s="181"/>
      <c r="V190" s="181"/>
      <c r="W190" s="181"/>
      <c r="X190" s="181"/>
      <c r="Y190" s="181"/>
      <c r="Z190" s="181"/>
      <c r="AA190" s="181"/>
    </row>
    <row r="191" spans="2:27" ht="15">
      <c r="B191" s="178"/>
      <c r="C191" s="181"/>
      <c r="D191" s="181"/>
      <c r="E191" s="181"/>
      <c r="F191" s="181"/>
      <c r="G191" s="181"/>
      <c r="H191" s="181"/>
      <c r="I191" s="181"/>
      <c r="J191" s="181"/>
      <c r="K191" s="181"/>
      <c r="L191" s="181"/>
      <c r="M191" s="181"/>
      <c r="N191" s="181"/>
      <c r="O191" s="181"/>
      <c r="P191" s="181"/>
      <c r="Q191" s="181"/>
      <c r="R191" s="181"/>
      <c r="S191" s="181"/>
      <c r="T191" s="181"/>
      <c r="U191" s="181"/>
      <c r="V191" s="181"/>
      <c r="W191" s="181"/>
      <c r="X191" s="181"/>
      <c r="Y191" s="181"/>
      <c r="Z191" s="181"/>
      <c r="AA191" s="181"/>
    </row>
    <row r="192" spans="2:27" ht="15">
      <c r="B192" s="178"/>
      <c r="C192" s="181"/>
      <c r="D192" s="181"/>
      <c r="E192" s="181"/>
      <c r="F192" s="181"/>
      <c r="G192" s="181"/>
      <c r="H192" s="181"/>
      <c r="I192" s="181"/>
      <c r="J192" s="181"/>
      <c r="K192" s="181"/>
      <c r="L192" s="181"/>
      <c r="M192" s="181"/>
      <c r="N192" s="181"/>
      <c r="O192" s="181"/>
      <c r="P192" s="181"/>
      <c r="Q192" s="181"/>
      <c r="R192" s="181"/>
      <c r="S192" s="181"/>
      <c r="T192" s="181"/>
      <c r="U192" s="181"/>
      <c r="V192" s="181"/>
      <c r="W192" s="181"/>
      <c r="X192" s="181"/>
      <c r="Y192" s="181"/>
      <c r="Z192" s="181"/>
      <c r="AA192" s="181"/>
    </row>
    <row r="193" spans="2:27" ht="15">
      <c r="B193" s="178"/>
      <c r="C193" s="181"/>
      <c r="D193" s="181"/>
      <c r="E193" s="181"/>
      <c r="F193" s="181"/>
      <c r="G193" s="181"/>
      <c r="H193" s="181"/>
      <c r="I193" s="181"/>
      <c r="J193" s="181"/>
      <c r="K193" s="181"/>
      <c r="L193" s="181"/>
      <c r="M193" s="181"/>
      <c r="N193" s="181"/>
      <c r="O193" s="181"/>
      <c r="P193" s="181"/>
      <c r="Q193" s="181"/>
      <c r="R193" s="181"/>
      <c r="S193" s="181"/>
      <c r="T193" s="181"/>
      <c r="U193" s="181"/>
      <c r="V193" s="181"/>
      <c r="W193" s="181"/>
      <c r="X193" s="181"/>
      <c r="Y193" s="181"/>
      <c r="Z193" s="181"/>
      <c r="AA193" s="181"/>
    </row>
    <row r="194" spans="2:27" ht="15">
      <c r="B194" s="178"/>
      <c r="C194" s="181"/>
      <c r="D194" s="181"/>
      <c r="E194" s="181"/>
      <c r="F194" s="181"/>
      <c r="G194" s="181"/>
      <c r="H194" s="181"/>
      <c r="I194" s="181"/>
      <c r="J194" s="181"/>
      <c r="K194" s="181"/>
      <c r="L194" s="181"/>
      <c r="M194" s="181"/>
      <c r="N194" s="181"/>
      <c r="O194" s="181"/>
      <c r="P194" s="181"/>
      <c r="Q194" s="181"/>
      <c r="R194" s="181"/>
      <c r="S194" s="181"/>
      <c r="T194" s="181"/>
      <c r="U194" s="181"/>
      <c r="V194" s="181"/>
      <c r="W194" s="181"/>
      <c r="X194" s="181"/>
      <c r="Y194" s="181"/>
      <c r="Z194" s="181"/>
      <c r="AA194" s="181"/>
    </row>
    <row r="195" spans="2:27" ht="15">
      <c r="B195" s="178"/>
      <c r="C195" s="181"/>
      <c r="D195" s="181"/>
      <c r="E195" s="181"/>
      <c r="F195" s="181"/>
      <c r="G195" s="181"/>
      <c r="H195" s="181"/>
      <c r="I195" s="181"/>
      <c r="J195" s="181"/>
      <c r="K195" s="181"/>
      <c r="L195" s="181"/>
      <c r="M195" s="181"/>
      <c r="N195" s="181"/>
      <c r="O195" s="181"/>
      <c r="P195" s="181"/>
      <c r="Q195" s="181"/>
      <c r="R195" s="181"/>
      <c r="S195" s="181"/>
      <c r="T195" s="181"/>
      <c r="U195" s="181"/>
      <c r="V195" s="181"/>
      <c r="W195" s="181"/>
      <c r="X195" s="181"/>
      <c r="Y195" s="181"/>
      <c r="Z195" s="181"/>
      <c r="AA195" s="181"/>
    </row>
    <row r="196" spans="2:27" ht="15">
      <c r="B196" s="178"/>
      <c r="C196" s="181"/>
      <c r="D196" s="181"/>
      <c r="E196" s="181"/>
      <c r="F196" s="181"/>
      <c r="G196" s="181"/>
      <c r="H196" s="181"/>
      <c r="I196" s="181"/>
      <c r="J196" s="181"/>
      <c r="K196" s="181"/>
      <c r="L196" s="181"/>
      <c r="M196" s="181"/>
      <c r="N196" s="181"/>
      <c r="O196" s="181"/>
      <c r="P196" s="181"/>
      <c r="Q196" s="181"/>
      <c r="R196" s="181"/>
      <c r="S196" s="181"/>
      <c r="T196" s="181"/>
      <c r="U196" s="181"/>
      <c r="V196" s="181"/>
      <c r="W196" s="181"/>
      <c r="X196" s="181"/>
      <c r="Y196" s="181"/>
      <c r="Z196" s="181"/>
      <c r="AA196" s="181"/>
    </row>
    <row r="197" spans="2:27" ht="15">
      <c r="B197" s="178"/>
      <c r="C197" s="181"/>
      <c r="D197" s="181"/>
      <c r="E197" s="181"/>
      <c r="F197" s="181"/>
      <c r="G197" s="181"/>
      <c r="H197" s="181"/>
      <c r="I197" s="181"/>
      <c r="J197" s="181"/>
      <c r="K197" s="181"/>
      <c r="L197" s="181"/>
      <c r="M197" s="181"/>
      <c r="N197" s="181"/>
      <c r="O197" s="181"/>
      <c r="P197" s="181"/>
      <c r="Q197" s="181"/>
      <c r="R197" s="181"/>
      <c r="S197" s="181"/>
      <c r="T197" s="181"/>
      <c r="U197" s="181"/>
      <c r="V197" s="181"/>
      <c r="W197" s="181"/>
      <c r="X197" s="181"/>
      <c r="Y197" s="181"/>
      <c r="Z197" s="181"/>
      <c r="AA197" s="181"/>
    </row>
    <row r="198" spans="2:27" ht="15">
      <c r="B198" s="178"/>
      <c r="C198" s="181"/>
      <c r="D198" s="181"/>
      <c r="E198" s="181"/>
      <c r="F198" s="181"/>
      <c r="G198" s="181"/>
      <c r="H198" s="181"/>
      <c r="I198" s="181"/>
      <c r="J198" s="181"/>
      <c r="K198" s="181"/>
      <c r="L198" s="181"/>
      <c r="M198" s="181"/>
      <c r="N198" s="181"/>
      <c r="O198" s="181"/>
      <c r="P198" s="181"/>
      <c r="Q198" s="181"/>
      <c r="R198" s="181"/>
      <c r="S198" s="181"/>
      <c r="T198" s="181"/>
      <c r="U198" s="181"/>
      <c r="V198" s="181"/>
      <c r="W198" s="181"/>
      <c r="X198" s="181"/>
      <c r="Y198" s="181"/>
      <c r="Z198" s="181"/>
      <c r="AA198" s="181"/>
    </row>
    <row r="199" spans="2:27" ht="15">
      <c r="B199" s="178"/>
      <c r="C199" s="181"/>
      <c r="D199" s="181"/>
      <c r="E199" s="181"/>
      <c r="F199" s="181"/>
      <c r="G199" s="181"/>
      <c r="H199" s="181"/>
      <c r="I199" s="181"/>
      <c r="J199" s="181"/>
      <c r="K199" s="181"/>
      <c r="L199" s="181"/>
      <c r="M199" s="181"/>
      <c r="N199" s="181"/>
      <c r="O199" s="181"/>
      <c r="P199" s="181"/>
      <c r="Q199" s="181"/>
      <c r="R199" s="181"/>
      <c r="S199" s="181"/>
      <c r="T199" s="181"/>
      <c r="U199" s="181"/>
      <c r="V199" s="181"/>
      <c r="W199" s="181"/>
      <c r="X199" s="181"/>
      <c r="Y199" s="181"/>
      <c r="Z199" s="181"/>
      <c r="AA199" s="181"/>
    </row>
    <row r="200" spans="2:27" ht="15">
      <c r="B200" s="178"/>
      <c r="C200" s="181"/>
      <c r="D200" s="181"/>
      <c r="E200" s="181"/>
      <c r="F200" s="181"/>
      <c r="G200" s="181"/>
      <c r="H200" s="181"/>
      <c r="I200" s="181"/>
      <c r="J200" s="181"/>
      <c r="K200" s="181"/>
      <c r="L200" s="181"/>
      <c r="M200" s="181"/>
      <c r="N200" s="181"/>
      <c r="O200" s="181"/>
      <c r="P200" s="181"/>
      <c r="Q200" s="181"/>
      <c r="R200" s="181"/>
      <c r="S200" s="181"/>
      <c r="T200" s="181"/>
      <c r="U200" s="181"/>
      <c r="V200" s="181"/>
      <c r="W200" s="181"/>
      <c r="X200" s="181"/>
      <c r="Y200" s="181"/>
      <c r="Z200" s="181"/>
      <c r="AA200" s="181"/>
    </row>
    <row r="201" spans="2:27" ht="15">
      <c r="B201" s="178"/>
      <c r="C201" s="181"/>
      <c r="D201" s="181"/>
      <c r="E201" s="181"/>
      <c r="F201" s="181"/>
      <c r="G201" s="181"/>
      <c r="H201" s="181"/>
      <c r="I201" s="181"/>
      <c r="J201" s="181"/>
      <c r="K201" s="181"/>
      <c r="L201" s="181"/>
      <c r="M201" s="181"/>
      <c r="N201" s="181"/>
      <c r="O201" s="181"/>
      <c r="P201" s="181"/>
      <c r="Q201" s="181"/>
      <c r="R201" s="181"/>
      <c r="S201" s="181"/>
      <c r="T201" s="181"/>
      <c r="U201" s="181"/>
      <c r="V201" s="181"/>
      <c r="W201" s="181"/>
      <c r="X201" s="181"/>
      <c r="Y201" s="181"/>
      <c r="Z201" s="181"/>
      <c r="AA201" s="181"/>
    </row>
    <row r="202" spans="2:27" ht="15">
      <c r="B202" s="178"/>
      <c r="C202" s="181"/>
      <c r="D202" s="181"/>
      <c r="E202" s="181"/>
      <c r="F202" s="181"/>
      <c r="G202" s="181"/>
      <c r="H202" s="181"/>
      <c r="I202" s="181"/>
      <c r="J202" s="181"/>
      <c r="K202" s="181"/>
      <c r="L202" s="181"/>
      <c r="M202" s="181"/>
      <c r="N202" s="181"/>
      <c r="O202" s="181"/>
      <c r="P202" s="181"/>
      <c r="Q202" s="181"/>
      <c r="R202" s="181"/>
      <c r="S202" s="181"/>
      <c r="T202" s="181"/>
      <c r="U202" s="181"/>
      <c r="V202" s="181"/>
      <c r="W202" s="181"/>
      <c r="X202" s="181"/>
      <c r="Y202" s="181"/>
      <c r="Z202" s="181"/>
      <c r="AA202" s="181"/>
    </row>
    <row r="203" spans="2:27" ht="15">
      <c r="B203" s="178"/>
      <c r="C203" s="181"/>
      <c r="D203" s="181"/>
      <c r="E203" s="181"/>
      <c r="F203" s="181"/>
      <c r="G203" s="181"/>
      <c r="H203" s="181"/>
      <c r="I203" s="181"/>
      <c r="J203" s="181"/>
      <c r="K203" s="181"/>
      <c r="L203" s="181"/>
      <c r="M203" s="181"/>
      <c r="N203" s="181"/>
      <c r="O203" s="181"/>
      <c r="P203" s="181"/>
      <c r="Q203" s="181"/>
      <c r="R203" s="181"/>
      <c r="S203" s="181"/>
      <c r="T203" s="181"/>
      <c r="U203" s="181"/>
      <c r="V203" s="181"/>
      <c r="W203" s="181"/>
      <c r="X203" s="181"/>
      <c r="Y203" s="181"/>
      <c r="Z203" s="181"/>
      <c r="AA203" s="181"/>
    </row>
    <row r="204" spans="2:27" ht="15">
      <c r="B204" s="178"/>
      <c r="C204" s="181"/>
      <c r="D204" s="181"/>
      <c r="E204" s="181"/>
      <c r="F204" s="181"/>
      <c r="G204" s="181"/>
      <c r="H204" s="181"/>
      <c r="I204" s="181"/>
      <c r="J204" s="181"/>
      <c r="K204" s="181"/>
      <c r="L204" s="181"/>
      <c r="M204" s="181"/>
      <c r="N204" s="181"/>
      <c r="O204" s="181"/>
      <c r="P204" s="181"/>
      <c r="Q204" s="181"/>
      <c r="R204" s="181"/>
      <c r="S204" s="181"/>
      <c r="T204" s="181"/>
      <c r="U204" s="181"/>
      <c r="V204" s="181"/>
      <c r="W204" s="181"/>
      <c r="X204" s="181"/>
      <c r="Y204" s="181"/>
      <c r="Z204" s="181"/>
      <c r="AA204" s="181"/>
    </row>
    <row r="205" spans="2:27" ht="15">
      <c r="B205" s="178"/>
      <c r="C205" s="181"/>
      <c r="D205" s="181"/>
      <c r="E205" s="181"/>
      <c r="F205" s="181"/>
      <c r="G205" s="181"/>
      <c r="H205" s="181"/>
      <c r="I205" s="181"/>
      <c r="J205" s="181"/>
      <c r="K205" s="181"/>
      <c r="L205" s="181"/>
      <c r="M205" s="181"/>
      <c r="N205" s="181"/>
      <c r="O205" s="181"/>
      <c r="P205" s="181"/>
      <c r="Q205" s="181"/>
      <c r="R205" s="181"/>
      <c r="S205" s="181"/>
      <c r="T205" s="181"/>
      <c r="U205" s="181"/>
      <c r="V205" s="181"/>
      <c r="W205" s="181"/>
      <c r="X205" s="181"/>
      <c r="Y205" s="181"/>
      <c r="Z205" s="181"/>
      <c r="AA205" s="181"/>
    </row>
    <row r="206" spans="2:27" ht="15">
      <c r="B206" s="178"/>
      <c r="C206" s="181"/>
      <c r="D206" s="181"/>
      <c r="E206" s="181"/>
      <c r="F206" s="181"/>
      <c r="G206" s="181"/>
      <c r="H206" s="181"/>
      <c r="I206" s="181"/>
      <c r="J206" s="181"/>
      <c r="K206" s="181"/>
      <c r="L206" s="181"/>
      <c r="M206" s="181"/>
      <c r="N206" s="181"/>
      <c r="O206" s="181"/>
      <c r="P206" s="181"/>
      <c r="Q206" s="181"/>
      <c r="R206" s="181"/>
      <c r="S206" s="181"/>
      <c r="T206" s="181"/>
      <c r="U206" s="181"/>
      <c r="V206" s="181"/>
      <c r="W206" s="181"/>
      <c r="X206" s="181"/>
      <c r="Y206" s="181"/>
      <c r="Z206" s="181"/>
      <c r="AA206" s="181"/>
    </row>
    <row r="207" spans="2:27" ht="15">
      <c r="B207" s="178"/>
      <c r="C207" s="181"/>
      <c r="D207" s="181"/>
      <c r="E207" s="181"/>
      <c r="F207" s="181"/>
      <c r="G207" s="181"/>
      <c r="H207" s="181"/>
      <c r="I207" s="181"/>
      <c r="J207" s="181"/>
      <c r="K207" s="181"/>
      <c r="L207" s="181"/>
      <c r="M207" s="181"/>
      <c r="N207" s="181"/>
      <c r="O207" s="181"/>
      <c r="P207" s="181"/>
      <c r="Q207" s="181"/>
      <c r="R207" s="181"/>
      <c r="S207" s="181"/>
      <c r="T207" s="181"/>
      <c r="U207" s="181"/>
      <c r="V207" s="181"/>
      <c r="W207" s="181"/>
      <c r="X207" s="181"/>
      <c r="Y207" s="181"/>
      <c r="Z207" s="181"/>
      <c r="AA207" s="181"/>
    </row>
    <row r="208" spans="2:27" ht="15">
      <c r="B208" s="178"/>
      <c r="C208" s="181"/>
      <c r="D208" s="181"/>
      <c r="E208" s="181"/>
      <c r="F208" s="181"/>
      <c r="G208" s="181"/>
      <c r="H208" s="181"/>
      <c r="I208" s="181"/>
      <c r="J208" s="181"/>
      <c r="K208" s="181"/>
      <c r="L208" s="181"/>
      <c r="M208" s="181"/>
      <c r="N208" s="181"/>
      <c r="O208" s="181"/>
      <c r="P208" s="181"/>
      <c r="Q208" s="181"/>
      <c r="R208" s="181"/>
      <c r="S208" s="181"/>
      <c r="T208" s="181"/>
      <c r="U208" s="181"/>
      <c r="V208" s="181"/>
      <c r="W208" s="181"/>
      <c r="X208" s="181"/>
      <c r="Y208" s="181"/>
      <c r="Z208" s="181"/>
      <c r="AA208" s="181"/>
    </row>
    <row r="209" spans="2:27" ht="15">
      <c r="B209" s="178"/>
      <c r="C209" s="181"/>
      <c r="D209" s="181"/>
      <c r="E209" s="181"/>
      <c r="F209" s="181"/>
      <c r="G209" s="181"/>
      <c r="H209" s="181"/>
      <c r="I209" s="181"/>
      <c r="J209" s="181"/>
      <c r="K209" s="181"/>
      <c r="L209" s="181"/>
      <c r="M209" s="181"/>
      <c r="N209" s="181"/>
      <c r="O209" s="181"/>
      <c r="P209" s="181"/>
      <c r="Q209" s="181"/>
      <c r="R209" s="181"/>
      <c r="S209" s="181"/>
      <c r="T209" s="181"/>
      <c r="U209" s="181"/>
      <c r="V209" s="181"/>
      <c r="W209" s="181"/>
      <c r="X209" s="181"/>
      <c r="Y209" s="181"/>
      <c r="Z209" s="181"/>
      <c r="AA209" s="181"/>
    </row>
    <row r="210" spans="2:27" ht="15">
      <c r="B210" s="178"/>
      <c r="C210" s="181"/>
      <c r="D210" s="181"/>
      <c r="E210" s="181"/>
      <c r="F210" s="181"/>
      <c r="G210" s="181"/>
      <c r="H210" s="181"/>
      <c r="I210" s="181"/>
      <c r="J210" s="181"/>
      <c r="K210" s="181"/>
      <c r="L210" s="181"/>
      <c r="M210" s="181"/>
      <c r="N210" s="181"/>
      <c r="O210" s="181"/>
      <c r="P210" s="181"/>
      <c r="Q210" s="181"/>
      <c r="R210" s="181"/>
      <c r="S210" s="181"/>
      <c r="T210" s="181"/>
      <c r="U210" s="181"/>
      <c r="V210" s="181"/>
      <c r="W210" s="181"/>
      <c r="X210" s="181"/>
      <c r="Y210" s="181"/>
      <c r="Z210" s="181"/>
      <c r="AA210" s="181"/>
    </row>
    <row r="211" spans="2:27" ht="15">
      <c r="B211" s="178"/>
      <c r="C211" s="181"/>
      <c r="D211" s="181"/>
      <c r="E211" s="181"/>
      <c r="F211" s="181"/>
      <c r="G211" s="181"/>
      <c r="H211" s="181"/>
      <c r="I211" s="181"/>
      <c r="J211" s="181"/>
      <c r="K211" s="181"/>
      <c r="L211" s="181"/>
      <c r="M211" s="181"/>
      <c r="N211" s="181"/>
      <c r="O211" s="181"/>
      <c r="P211" s="181"/>
      <c r="Q211" s="181"/>
      <c r="R211" s="181"/>
      <c r="S211" s="181"/>
      <c r="T211" s="181"/>
      <c r="U211" s="181"/>
      <c r="V211" s="181"/>
      <c r="W211" s="181"/>
      <c r="X211" s="181"/>
      <c r="Y211" s="181"/>
      <c r="Z211" s="181"/>
      <c r="AA211" s="181"/>
    </row>
    <row r="212" spans="2:27" ht="15">
      <c r="B212" s="178"/>
      <c r="C212" s="181"/>
      <c r="D212" s="181"/>
      <c r="E212" s="181"/>
      <c r="F212" s="181"/>
      <c r="G212" s="181"/>
      <c r="H212" s="181"/>
      <c r="I212" s="181"/>
      <c r="J212" s="181"/>
      <c r="K212" s="181"/>
      <c r="L212" s="181"/>
      <c r="M212" s="181"/>
      <c r="N212" s="181"/>
      <c r="O212" s="181"/>
      <c r="P212" s="181"/>
      <c r="Q212" s="181"/>
      <c r="R212" s="181"/>
      <c r="S212" s="181"/>
      <c r="T212" s="181"/>
      <c r="U212" s="181"/>
      <c r="V212" s="181"/>
      <c r="W212" s="181"/>
      <c r="X212" s="181"/>
      <c r="Y212" s="181"/>
      <c r="Z212" s="181"/>
      <c r="AA212" s="181"/>
    </row>
    <row r="213" spans="2:27" ht="15">
      <c r="B213" s="178"/>
      <c r="C213" s="181"/>
      <c r="D213" s="181"/>
      <c r="E213" s="181"/>
      <c r="F213" s="181"/>
      <c r="G213" s="181"/>
      <c r="H213" s="181"/>
      <c r="I213" s="181"/>
      <c r="J213" s="181"/>
      <c r="K213" s="181"/>
      <c r="L213" s="181"/>
      <c r="M213" s="181"/>
      <c r="N213" s="181"/>
      <c r="O213" s="181"/>
      <c r="P213" s="181"/>
      <c r="Q213" s="181"/>
      <c r="R213" s="181"/>
      <c r="S213" s="181"/>
      <c r="T213" s="181"/>
      <c r="U213" s="181"/>
      <c r="V213" s="181"/>
      <c r="W213" s="181"/>
      <c r="X213" s="181"/>
      <c r="Y213" s="181"/>
      <c r="Z213" s="181"/>
      <c r="AA213" s="181"/>
    </row>
    <row r="214" spans="2:27" ht="15">
      <c r="B214" s="178"/>
      <c r="C214" s="181"/>
      <c r="D214" s="181"/>
      <c r="E214" s="181"/>
      <c r="F214" s="181"/>
      <c r="G214" s="181"/>
      <c r="H214" s="181"/>
      <c r="I214" s="181"/>
      <c r="J214" s="181"/>
      <c r="K214" s="181"/>
      <c r="L214" s="181"/>
      <c r="M214" s="181"/>
      <c r="N214" s="181"/>
      <c r="O214" s="181"/>
      <c r="P214" s="181"/>
      <c r="Q214" s="181"/>
      <c r="R214" s="181"/>
      <c r="S214" s="181"/>
      <c r="T214" s="181"/>
      <c r="U214" s="181"/>
      <c r="V214" s="181"/>
      <c r="W214" s="181"/>
      <c r="X214" s="181"/>
      <c r="Y214" s="181"/>
      <c r="Z214" s="181"/>
      <c r="AA214" s="181"/>
    </row>
    <row r="215" spans="2:27" ht="15">
      <c r="B215" s="178"/>
      <c r="C215" s="181"/>
      <c r="D215" s="181"/>
      <c r="E215" s="181"/>
      <c r="F215" s="181"/>
      <c r="G215" s="181"/>
      <c r="H215" s="181"/>
      <c r="I215" s="181"/>
      <c r="J215" s="181"/>
      <c r="K215" s="181"/>
      <c r="L215" s="181"/>
      <c r="M215" s="181"/>
      <c r="N215" s="181"/>
      <c r="O215" s="181"/>
      <c r="P215" s="181"/>
      <c r="Q215" s="181"/>
      <c r="R215" s="181"/>
      <c r="S215" s="181"/>
      <c r="T215" s="181"/>
      <c r="U215" s="181"/>
      <c r="V215" s="181"/>
      <c r="W215" s="181"/>
      <c r="X215" s="181"/>
      <c r="Y215" s="181"/>
      <c r="Z215" s="181"/>
      <c r="AA215" s="181"/>
    </row>
    <row r="216" spans="2:27" ht="15">
      <c r="B216" s="178"/>
      <c r="C216" s="181"/>
      <c r="D216" s="181"/>
      <c r="E216" s="181"/>
      <c r="F216" s="181"/>
      <c r="G216" s="181"/>
      <c r="H216" s="181"/>
      <c r="I216" s="181"/>
      <c r="J216" s="181"/>
      <c r="K216" s="181"/>
      <c r="L216" s="181"/>
      <c r="M216" s="181"/>
      <c r="N216" s="181"/>
      <c r="O216" s="181"/>
      <c r="P216" s="181"/>
      <c r="Q216" s="181"/>
      <c r="R216" s="181"/>
      <c r="S216" s="181"/>
      <c r="T216" s="181"/>
      <c r="U216" s="181"/>
      <c r="V216" s="181"/>
      <c r="W216" s="181"/>
      <c r="X216" s="181"/>
      <c r="Y216" s="181"/>
      <c r="Z216" s="181"/>
      <c r="AA216" s="181"/>
    </row>
    <row r="217" spans="2:27" ht="15">
      <c r="B217" s="178"/>
      <c r="C217" s="181"/>
      <c r="D217" s="181"/>
      <c r="E217" s="181"/>
      <c r="F217" s="181"/>
      <c r="G217" s="181"/>
      <c r="H217" s="181"/>
      <c r="I217" s="181"/>
      <c r="J217" s="181"/>
      <c r="K217" s="181"/>
      <c r="L217" s="181"/>
      <c r="M217" s="181"/>
      <c r="N217" s="181"/>
      <c r="O217" s="181"/>
      <c r="P217" s="181"/>
      <c r="Q217" s="181"/>
      <c r="R217" s="181"/>
      <c r="S217" s="181"/>
      <c r="T217" s="181"/>
      <c r="U217" s="181"/>
      <c r="V217" s="181"/>
      <c r="W217" s="181"/>
      <c r="X217" s="181"/>
      <c r="Y217" s="181"/>
      <c r="Z217" s="181"/>
      <c r="AA217" s="181"/>
    </row>
    <row r="218" spans="2:27" ht="15">
      <c r="B218" s="178"/>
      <c r="C218" s="181"/>
      <c r="D218" s="181"/>
      <c r="E218" s="181"/>
      <c r="F218" s="181"/>
      <c r="G218" s="181"/>
      <c r="H218" s="181"/>
      <c r="I218" s="181"/>
      <c r="J218" s="181"/>
      <c r="K218" s="181"/>
      <c r="L218" s="181"/>
      <c r="M218" s="181"/>
      <c r="N218" s="181"/>
      <c r="O218" s="181"/>
      <c r="P218" s="181"/>
      <c r="Q218" s="181"/>
      <c r="R218" s="181"/>
      <c r="S218" s="181"/>
      <c r="T218" s="181"/>
      <c r="U218" s="181"/>
      <c r="V218" s="181"/>
      <c r="W218" s="181"/>
      <c r="X218" s="181"/>
      <c r="Y218" s="181"/>
      <c r="Z218" s="181"/>
      <c r="AA218" s="181"/>
    </row>
    <row r="219" spans="2:27" ht="15">
      <c r="B219" s="178"/>
      <c r="C219" s="181"/>
      <c r="D219" s="181"/>
      <c r="E219" s="181"/>
      <c r="F219" s="181"/>
      <c r="G219" s="181"/>
      <c r="H219" s="181"/>
      <c r="I219" s="181"/>
      <c r="J219" s="181"/>
      <c r="K219" s="181"/>
      <c r="L219" s="181"/>
      <c r="M219" s="181"/>
      <c r="N219" s="181"/>
      <c r="O219" s="181"/>
      <c r="P219" s="181"/>
      <c r="Q219" s="181"/>
      <c r="R219" s="181"/>
      <c r="S219" s="181"/>
      <c r="T219" s="181"/>
      <c r="U219" s="181"/>
      <c r="V219" s="181"/>
      <c r="W219" s="181"/>
      <c r="X219" s="181"/>
      <c r="Y219" s="181"/>
      <c r="Z219" s="181"/>
      <c r="AA219" s="181"/>
    </row>
    <row r="220" spans="2:27" ht="15">
      <c r="B220" s="178"/>
      <c r="C220" s="181"/>
      <c r="D220" s="181"/>
      <c r="E220" s="181"/>
      <c r="F220" s="181"/>
      <c r="G220" s="181"/>
      <c r="H220" s="181"/>
      <c r="I220" s="181"/>
      <c r="J220" s="181"/>
      <c r="K220" s="181"/>
      <c r="L220" s="181"/>
      <c r="M220" s="181"/>
      <c r="N220" s="181"/>
      <c r="O220" s="181"/>
      <c r="P220" s="181"/>
      <c r="Q220" s="181"/>
      <c r="R220" s="181"/>
      <c r="S220" s="181"/>
      <c r="T220" s="181"/>
      <c r="U220" s="181"/>
      <c r="V220" s="181"/>
      <c r="W220" s="181"/>
      <c r="X220" s="181"/>
      <c r="Y220" s="181"/>
      <c r="Z220" s="181"/>
      <c r="AA220" s="181"/>
    </row>
    <row r="221" spans="2:27" ht="15">
      <c r="B221" s="178"/>
      <c r="C221" s="181"/>
      <c r="D221" s="181"/>
      <c r="E221" s="181"/>
      <c r="F221" s="181"/>
      <c r="G221" s="181"/>
      <c r="H221" s="181"/>
      <c r="I221" s="181"/>
      <c r="J221" s="181"/>
      <c r="K221" s="181"/>
      <c r="L221" s="181"/>
      <c r="M221" s="181"/>
      <c r="N221" s="181"/>
      <c r="O221" s="181"/>
      <c r="P221" s="181"/>
      <c r="Q221" s="181"/>
      <c r="R221" s="181"/>
      <c r="S221" s="181"/>
      <c r="T221" s="181"/>
      <c r="U221" s="181"/>
      <c r="V221" s="181"/>
      <c r="W221" s="181"/>
      <c r="X221" s="181"/>
      <c r="Y221" s="181"/>
      <c r="Z221" s="181"/>
      <c r="AA221" s="181"/>
    </row>
    <row r="222" spans="2:27" ht="15">
      <c r="B222" s="178"/>
      <c r="C222" s="181"/>
      <c r="D222" s="181"/>
      <c r="E222" s="181"/>
      <c r="F222" s="181"/>
      <c r="G222" s="181"/>
      <c r="H222" s="181"/>
      <c r="I222" s="181"/>
      <c r="J222" s="181"/>
      <c r="K222" s="181"/>
      <c r="L222" s="181"/>
      <c r="M222" s="181"/>
      <c r="N222" s="181"/>
      <c r="O222" s="181"/>
      <c r="P222" s="181"/>
      <c r="Q222" s="181"/>
      <c r="R222" s="181"/>
      <c r="S222" s="181"/>
      <c r="T222" s="181"/>
      <c r="U222" s="181"/>
      <c r="V222" s="181"/>
      <c r="W222" s="181"/>
      <c r="X222" s="181"/>
      <c r="Y222" s="181"/>
      <c r="Z222" s="181"/>
      <c r="AA222" s="181"/>
    </row>
    <row r="223" spans="2:27" ht="15">
      <c r="B223" s="178"/>
      <c r="C223" s="181"/>
      <c r="D223" s="181"/>
      <c r="E223" s="181"/>
      <c r="F223" s="181"/>
      <c r="G223" s="181"/>
      <c r="H223" s="181"/>
      <c r="I223" s="181"/>
      <c r="J223" s="181"/>
      <c r="K223" s="181"/>
      <c r="L223" s="181"/>
      <c r="M223" s="181"/>
      <c r="N223" s="181"/>
      <c r="O223" s="181"/>
      <c r="P223" s="181"/>
      <c r="Q223" s="181"/>
      <c r="R223" s="181"/>
      <c r="S223" s="181"/>
      <c r="T223" s="181"/>
      <c r="U223" s="181"/>
      <c r="V223" s="181"/>
      <c r="W223" s="181"/>
      <c r="X223" s="181"/>
      <c r="Y223" s="181"/>
      <c r="Z223" s="181"/>
      <c r="AA223" s="181"/>
    </row>
    <row r="224" spans="2:27" ht="15">
      <c r="B224" s="178"/>
      <c r="C224" s="181"/>
      <c r="D224" s="181"/>
      <c r="E224" s="181"/>
      <c r="F224" s="181"/>
      <c r="G224" s="181"/>
      <c r="H224" s="181"/>
      <c r="I224" s="181"/>
      <c r="J224" s="181"/>
      <c r="K224" s="181"/>
      <c r="L224" s="181"/>
      <c r="M224" s="181"/>
      <c r="N224" s="181"/>
      <c r="O224" s="181"/>
      <c r="P224" s="181"/>
      <c r="Q224" s="181"/>
      <c r="R224" s="181"/>
      <c r="S224" s="181"/>
      <c r="T224" s="181"/>
      <c r="U224" s="181"/>
      <c r="V224" s="181"/>
      <c r="W224" s="181"/>
      <c r="X224" s="181"/>
      <c r="Y224" s="181"/>
      <c r="Z224" s="181"/>
      <c r="AA224" s="181"/>
    </row>
    <row r="225" spans="2:27" ht="15">
      <c r="B225" s="178"/>
      <c r="C225" s="181"/>
      <c r="D225" s="181"/>
      <c r="E225" s="181"/>
      <c r="F225" s="181"/>
      <c r="G225" s="181"/>
      <c r="H225" s="181"/>
      <c r="I225" s="181"/>
      <c r="J225" s="181"/>
      <c r="K225" s="181"/>
      <c r="L225" s="181"/>
      <c r="M225" s="181"/>
      <c r="N225" s="181"/>
      <c r="O225" s="181"/>
      <c r="P225" s="181"/>
      <c r="Q225" s="181"/>
      <c r="R225" s="181"/>
      <c r="S225" s="181"/>
      <c r="T225" s="181"/>
      <c r="U225" s="181"/>
      <c r="V225" s="181"/>
      <c r="W225" s="181"/>
      <c r="X225" s="181"/>
      <c r="Y225" s="181"/>
      <c r="Z225" s="181"/>
      <c r="AA225" s="181"/>
    </row>
    <row r="226" spans="2:27" ht="15">
      <c r="B226" s="178"/>
      <c r="C226" s="181"/>
      <c r="D226" s="181"/>
      <c r="E226" s="181"/>
      <c r="F226" s="181"/>
      <c r="G226" s="181"/>
      <c r="H226" s="181"/>
      <c r="I226" s="181"/>
      <c r="J226" s="181"/>
      <c r="K226" s="181"/>
      <c r="L226" s="181"/>
      <c r="M226" s="181"/>
      <c r="N226" s="181"/>
      <c r="O226" s="181"/>
      <c r="P226" s="181"/>
      <c r="Q226" s="181"/>
      <c r="R226" s="181"/>
      <c r="S226" s="181"/>
      <c r="T226" s="181"/>
      <c r="U226" s="181"/>
      <c r="V226" s="181"/>
      <c r="W226" s="181"/>
      <c r="X226" s="181"/>
      <c r="Y226" s="181"/>
      <c r="Z226" s="181"/>
      <c r="AA226" s="181"/>
    </row>
    <row r="227" spans="2:27" ht="15">
      <c r="B227" s="178"/>
      <c r="C227" s="181"/>
      <c r="D227" s="181"/>
      <c r="E227" s="181"/>
      <c r="F227" s="181"/>
      <c r="G227" s="181"/>
      <c r="H227" s="181"/>
      <c r="I227" s="181"/>
      <c r="J227" s="181"/>
      <c r="K227" s="181"/>
      <c r="L227" s="181"/>
      <c r="M227" s="181"/>
      <c r="N227" s="181"/>
      <c r="O227" s="181"/>
      <c r="P227" s="181"/>
      <c r="Q227" s="181"/>
      <c r="R227" s="181"/>
      <c r="S227" s="181"/>
      <c r="T227" s="181"/>
      <c r="U227" s="181"/>
      <c r="V227" s="181"/>
      <c r="W227" s="181"/>
      <c r="X227" s="181"/>
      <c r="Y227" s="181"/>
      <c r="Z227" s="181"/>
      <c r="AA227" s="181"/>
    </row>
    <row r="228" spans="2:27" ht="15">
      <c r="B228" s="178"/>
      <c r="C228" s="181"/>
      <c r="D228" s="181"/>
      <c r="E228" s="181"/>
      <c r="F228" s="181"/>
      <c r="G228" s="181"/>
      <c r="H228" s="181"/>
      <c r="I228" s="181"/>
      <c r="J228" s="181"/>
      <c r="K228" s="181"/>
      <c r="L228" s="181"/>
      <c r="M228" s="181"/>
      <c r="N228" s="181"/>
      <c r="O228" s="181"/>
      <c r="P228" s="181"/>
      <c r="Q228" s="181"/>
      <c r="R228" s="181"/>
      <c r="S228" s="181"/>
      <c r="T228" s="181"/>
      <c r="U228" s="181"/>
      <c r="V228" s="181"/>
      <c r="W228" s="181"/>
      <c r="X228" s="181"/>
      <c r="Y228" s="181"/>
      <c r="Z228" s="181"/>
      <c r="AA228" s="181"/>
    </row>
    <row r="229" spans="2:27" ht="15">
      <c r="B229" s="178"/>
      <c r="C229" s="181"/>
      <c r="D229" s="181"/>
      <c r="E229" s="181"/>
      <c r="F229" s="181"/>
      <c r="G229" s="181"/>
      <c r="H229" s="181"/>
      <c r="I229" s="181"/>
      <c r="J229" s="181"/>
      <c r="K229" s="181"/>
      <c r="L229" s="181"/>
      <c r="M229" s="181"/>
      <c r="N229" s="181"/>
      <c r="O229" s="181"/>
      <c r="P229" s="181"/>
      <c r="Q229" s="181"/>
      <c r="R229" s="181"/>
      <c r="S229" s="181"/>
      <c r="T229" s="181"/>
      <c r="U229" s="181"/>
      <c r="V229" s="181"/>
      <c r="W229" s="181"/>
      <c r="X229" s="181"/>
      <c r="Y229" s="181"/>
      <c r="Z229" s="181"/>
      <c r="AA229" s="181"/>
    </row>
    <row r="230" spans="2:27" ht="15">
      <c r="B230" s="178"/>
      <c r="C230" s="181"/>
      <c r="D230" s="181"/>
      <c r="E230" s="181"/>
      <c r="F230" s="181"/>
      <c r="G230" s="181"/>
      <c r="H230" s="181"/>
      <c r="I230" s="181"/>
      <c r="J230" s="181"/>
      <c r="K230" s="181"/>
      <c r="L230" s="181"/>
      <c r="M230" s="181"/>
      <c r="N230" s="181"/>
      <c r="O230" s="181"/>
      <c r="P230" s="181"/>
      <c r="Q230" s="181"/>
      <c r="R230" s="181"/>
      <c r="S230" s="181"/>
      <c r="T230" s="181"/>
      <c r="U230" s="181"/>
      <c r="V230" s="181"/>
      <c r="W230" s="181"/>
      <c r="X230" s="181"/>
      <c r="Y230" s="181"/>
      <c r="Z230" s="181"/>
      <c r="AA230" s="181"/>
    </row>
    <row r="231" spans="2:27" ht="15">
      <c r="B231" s="178"/>
      <c r="C231" s="181"/>
      <c r="D231" s="181"/>
      <c r="E231" s="181"/>
      <c r="F231" s="181"/>
      <c r="G231" s="181"/>
      <c r="H231" s="181"/>
      <c r="I231" s="181"/>
      <c r="J231" s="181"/>
      <c r="K231" s="181"/>
      <c r="L231" s="181"/>
      <c r="M231" s="181"/>
      <c r="N231" s="181"/>
      <c r="O231" s="181"/>
      <c r="P231" s="181"/>
      <c r="Q231" s="181"/>
      <c r="R231" s="181"/>
      <c r="S231" s="181"/>
      <c r="T231" s="181"/>
      <c r="U231" s="181"/>
      <c r="V231" s="181"/>
      <c r="W231" s="181"/>
      <c r="X231" s="181"/>
      <c r="Y231" s="181"/>
      <c r="Z231" s="181"/>
      <c r="AA231" s="181"/>
    </row>
    <row r="232" spans="2:27" ht="15">
      <c r="B232" s="178"/>
      <c r="C232" s="181"/>
      <c r="D232" s="181"/>
      <c r="E232" s="181"/>
      <c r="F232" s="181"/>
      <c r="G232" s="181"/>
      <c r="H232" s="181"/>
      <c r="I232" s="181"/>
      <c r="J232" s="181"/>
      <c r="K232" s="181"/>
      <c r="L232" s="181"/>
      <c r="M232" s="181"/>
      <c r="N232" s="181"/>
      <c r="O232" s="181"/>
      <c r="P232" s="181"/>
      <c r="Q232" s="181"/>
      <c r="R232" s="181"/>
      <c r="S232" s="181"/>
      <c r="T232" s="181"/>
      <c r="U232" s="181"/>
      <c r="V232" s="181"/>
      <c r="W232" s="181"/>
      <c r="X232" s="181"/>
      <c r="Y232" s="181"/>
      <c r="Z232" s="181"/>
      <c r="AA232" s="181"/>
    </row>
    <row r="233" spans="2:27" ht="15">
      <c r="B233" s="178"/>
      <c r="C233" s="181"/>
      <c r="D233" s="181"/>
      <c r="E233" s="181"/>
      <c r="F233" s="181"/>
      <c r="G233" s="181"/>
      <c r="H233" s="181"/>
      <c r="I233" s="181"/>
      <c r="J233" s="181"/>
      <c r="K233" s="181"/>
      <c r="L233" s="181"/>
      <c r="M233" s="181"/>
      <c r="N233" s="181"/>
      <c r="O233" s="181"/>
      <c r="P233" s="181"/>
      <c r="Q233" s="181"/>
      <c r="R233" s="181"/>
      <c r="S233" s="181"/>
      <c r="T233" s="181"/>
      <c r="U233" s="181"/>
      <c r="V233" s="181"/>
      <c r="W233" s="181"/>
      <c r="X233" s="181"/>
      <c r="Y233" s="181"/>
      <c r="Z233" s="181"/>
      <c r="AA233" s="181"/>
    </row>
    <row r="234" spans="2:27" ht="15">
      <c r="B234" s="178"/>
      <c r="C234" s="181"/>
      <c r="D234" s="181"/>
      <c r="E234" s="181"/>
      <c r="F234" s="181"/>
      <c r="G234" s="181"/>
      <c r="H234" s="181"/>
      <c r="I234" s="181"/>
      <c r="J234" s="181"/>
      <c r="K234" s="181"/>
      <c r="L234" s="181"/>
      <c r="M234" s="181"/>
      <c r="N234" s="181"/>
      <c r="O234" s="181"/>
      <c r="P234" s="181"/>
      <c r="Q234" s="181"/>
      <c r="R234" s="181"/>
      <c r="S234" s="181"/>
      <c r="T234" s="181"/>
      <c r="U234" s="181"/>
      <c r="V234" s="181"/>
      <c r="W234" s="181"/>
      <c r="X234" s="181"/>
      <c r="Y234" s="181"/>
      <c r="Z234" s="181"/>
      <c r="AA234" s="181"/>
    </row>
    <row r="235" spans="2:27" ht="15">
      <c r="B235" s="178"/>
      <c r="C235" s="181"/>
      <c r="D235" s="181"/>
      <c r="E235" s="181"/>
      <c r="F235" s="181"/>
      <c r="G235" s="181"/>
      <c r="H235" s="181"/>
      <c r="I235" s="181"/>
      <c r="J235" s="181"/>
      <c r="K235" s="181"/>
      <c r="L235" s="181"/>
      <c r="M235" s="181"/>
      <c r="N235" s="181"/>
      <c r="O235" s="181"/>
      <c r="P235" s="181"/>
      <c r="Q235" s="181"/>
      <c r="R235" s="181"/>
      <c r="S235" s="181"/>
      <c r="T235" s="181"/>
      <c r="U235" s="181"/>
      <c r="V235" s="181"/>
      <c r="W235" s="181"/>
      <c r="X235" s="181"/>
      <c r="Y235" s="181"/>
      <c r="Z235" s="181"/>
      <c r="AA235" s="181"/>
    </row>
    <row r="236" spans="2:27" ht="15">
      <c r="B236" s="178"/>
      <c r="C236" s="181"/>
      <c r="D236" s="181"/>
      <c r="E236" s="181"/>
      <c r="F236" s="181"/>
      <c r="G236" s="181"/>
      <c r="H236" s="181"/>
      <c r="I236" s="181"/>
      <c r="J236" s="181"/>
      <c r="K236" s="181"/>
      <c r="L236" s="181"/>
      <c r="M236" s="181"/>
      <c r="N236" s="181"/>
      <c r="O236" s="181"/>
      <c r="P236" s="181"/>
      <c r="Q236" s="181"/>
      <c r="R236" s="181"/>
      <c r="S236" s="181"/>
      <c r="T236" s="181"/>
      <c r="U236" s="181"/>
      <c r="V236" s="181"/>
      <c r="W236" s="181"/>
      <c r="X236" s="181"/>
      <c r="Y236" s="181"/>
      <c r="Z236" s="181"/>
      <c r="AA236" s="181"/>
    </row>
    <row r="237" spans="2:27" ht="15">
      <c r="B237" s="178"/>
      <c r="C237" s="181"/>
      <c r="D237" s="181"/>
      <c r="E237" s="181"/>
      <c r="F237" s="181"/>
      <c r="G237" s="181"/>
      <c r="H237" s="181"/>
      <c r="I237" s="181"/>
      <c r="J237" s="181"/>
      <c r="K237" s="181"/>
      <c r="L237" s="181"/>
      <c r="M237" s="181"/>
      <c r="N237" s="181"/>
      <c r="O237" s="181"/>
      <c r="P237" s="181"/>
      <c r="Q237" s="181"/>
      <c r="R237" s="181"/>
      <c r="S237" s="181"/>
      <c r="T237" s="181"/>
      <c r="U237" s="181"/>
      <c r="V237" s="181"/>
      <c r="W237" s="181"/>
      <c r="X237" s="181"/>
      <c r="Y237" s="181"/>
      <c r="Z237" s="181"/>
      <c r="AA237" s="181"/>
    </row>
    <row r="238" spans="2:27" ht="15">
      <c r="B238" s="178"/>
      <c r="C238" s="181"/>
      <c r="D238" s="181"/>
      <c r="E238" s="181"/>
      <c r="F238" s="181"/>
      <c r="G238" s="181"/>
      <c r="H238" s="181"/>
      <c r="I238" s="181"/>
      <c r="J238" s="181"/>
      <c r="K238" s="181"/>
      <c r="L238" s="181"/>
      <c r="M238" s="181"/>
      <c r="N238" s="181"/>
      <c r="O238" s="181"/>
      <c r="P238" s="181"/>
      <c r="Q238" s="181"/>
      <c r="R238" s="181"/>
      <c r="S238" s="181"/>
      <c r="T238" s="181"/>
      <c r="U238" s="181"/>
      <c r="V238" s="181"/>
      <c r="W238" s="181"/>
      <c r="X238" s="181"/>
      <c r="Y238" s="181"/>
      <c r="Z238" s="181"/>
      <c r="AA238" s="181"/>
    </row>
    <row r="239" spans="2:27" ht="15">
      <c r="B239" s="178"/>
      <c r="C239" s="181"/>
      <c r="D239" s="181"/>
      <c r="E239" s="181"/>
      <c r="F239" s="181"/>
      <c r="G239" s="181"/>
      <c r="H239" s="181"/>
      <c r="I239" s="181"/>
      <c r="J239" s="181"/>
      <c r="K239" s="181"/>
      <c r="L239" s="181"/>
      <c r="M239" s="181"/>
      <c r="N239" s="181"/>
      <c r="O239" s="181"/>
      <c r="P239" s="181"/>
      <c r="Q239" s="181"/>
      <c r="R239" s="181"/>
      <c r="S239" s="181"/>
      <c r="T239" s="181"/>
      <c r="U239" s="181"/>
      <c r="V239" s="181"/>
      <c r="W239" s="181"/>
      <c r="X239" s="181"/>
      <c r="Y239" s="181"/>
      <c r="Z239" s="181"/>
      <c r="AA239" s="181"/>
    </row>
    <row r="240" spans="2:27" ht="15">
      <c r="B240" s="178"/>
      <c r="C240" s="181"/>
      <c r="D240" s="181"/>
      <c r="E240" s="181"/>
      <c r="F240" s="181"/>
      <c r="G240" s="181"/>
      <c r="H240" s="181"/>
      <c r="I240" s="181"/>
      <c r="J240" s="181"/>
      <c r="K240" s="181"/>
      <c r="L240" s="181"/>
      <c r="M240" s="181"/>
      <c r="N240" s="181"/>
      <c r="O240" s="181"/>
      <c r="P240" s="181"/>
      <c r="Q240" s="181"/>
      <c r="R240" s="181"/>
      <c r="S240" s="181"/>
      <c r="T240" s="181"/>
      <c r="U240" s="181"/>
      <c r="V240" s="181"/>
      <c r="W240" s="181"/>
      <c r="X240" s="181"/>
      <c r="Y240" s="181"/>
      <c r="Z240" s="181"/>
      <c r="AA240" s="181"/>
    </row>
    <row r="241" spans="2:27" ht="15">
      <c r="B241" s="178"/>
      <c r="C241" s="181"/>
      <c r="D241" s="181"/>
      <c r="E241" s="181"/>
      <c r="F241" s="181"/>
      <c r="G241" s="181"/>
      <c r="H241" s="181"/>
      <c r="I241" s="181"/>
      <c r="J241" s="181"/>
      <c r="K241" s="181"/>
      <c r="L241" s="181"/>
      <c r="M241" s="181"/>
      <c r="N241" s="181"/>
      <c r="O241" s="181"/>
      <c r="P241" s="181"/>
      <c r="Q241" s="181"/>
      <c r="R241" s="181"/>
      <c r="S241" s="181"/>
      <c r="T241" s="181"/>
      <c r="U241" s="181"/>
      <c r="V241" s="181"/>
      <c r="W241" s="181"/>
      <c r="X241" s="181"/>
      <c r="Y241" s="181"/>
      <c r="Z241" s="181"/>
      <c r="AA241" s="181"/>
    </row>
    <row r="242" spans="2:27" ht="15">
      <c r="B242" s="178"/>
      <c r="C242" s="181"/>
      <c r="D242" s="181"/>
      <c r="E242" s="181"/>
      <c r="F242" s="181"/>
      <c r="G242" s="181"/>
      <c r="H242" s="181"/>
      <c r="I242" s="181"/>
      <c r="J242" s="181"/>
      <c r="K242" s="181"/>
      <c r="L242" s="181"/>
      <c r="M242" s="181"/>
      <c r="N242" s="181"/>
      <c r="O242" s="181"/>
      <c r="P242" s="181"/>
      <c r="Q242" s="181"/>
      <c r="R242" s="181"/>
      <c r="S242" s="181"/>
      <c r="T242" s="181"/>
      <c r="U242" s="181"/>
      <c r="V242" s="181"/>
      <c r="W242" s="181"/>
      <c r="X242" s="181"/>
      <c r="Y242" s="181"/>
      <c r="Z242" s="181"/>
      <c r="AA242" s="181"/>
    </row>
    <row r="243" spans="2:27" ht="15">
      <c r="B243" s="178"/>
      <c r="C243" s="181"/>
      <c r="D243" s="181"/>
      <c r="E243" s="181"/>
      <c r="F243" s="181"/>
      <c r="G243" s="181"/>
      <c r="H243" s="181"/>
      <c r="I243" s="181"/>
      <c r="J243" s="181"/>
      <c r="K243" s="181"/>
      <c r="L243" s="181"/>
      <c r="M243" s="181"/>
      <c r="N243" s="181"/>
      <c r="O243" s="181"/>
      <c r="P243" s="181"/>
      <c r="Q243" s="181"/>
      <c r="R243" s="181"/>
      <c r="S243" s="181"/>
      <c r="T243" s="181"/>
      <c r="U243" s="181"/>
      <c r="V243" s="181"/>
      <c r="W243" s="181"/>
      <c r="X243" s="181"/>
      <c r="Y243" s="181"/>
      <c r="Z243" s="181"/>
      <c r="AA243" s="181"/>
    </row>
    <row r="244" spans="2:27" ht="15">
      <c r="B244" s="178"/>
      <c r="C244" s="181"/>
      <c r="D244" s="181"/>
      <c r="E244" s="181"/>
      <c r="F244" s="181"/>
      <c r="G244" s="181"/>
      <c r="H244" s="181"/>
      <c r="I244" s="181"/>
      <c r="J244" s="181"/>
      <c r="K244" s="181"/>
      <c r="L244" s="181"/>
      <c r="M244" s="181"/>
      <c r="N244" s="181"/>
      <c r="O244" s="181"/>
      <c r="P244" s="181"/>
      <c r="Q244" s="181"/>
      <c r="R244" s="181"/>
      <c r="S244" s="181"/>
      <c r="T244" s="181"/>
      <c r="U244" s="181"/>
      <c r="V244" s="181"/>
      <c r="W244" s="181"/>
      <c r="X244" s="181"/>
      <c r="Y244" s="181"/>
      <c r="Z244" s="181"/>
      <c r="AA244" s="181"/>
    </row>
    <row r="245" spans="2:27" ht="15">
      <c r="B245" s="178"/>
      <c r="C245" s="181"/>
      <c r="D245" s="181"/>
      <c r="E245" s="181"/>
      <c r="F245" s="181"/>
      <c r="G245" s="181"/>
      <c r="H245" s="181"/>
      <c r="I245" s="181"/>
      <c r="J245" s="181"/>
      <c r="K245" s="181"/>
      <c r="L245" s="181"/>
      <c r="M245" s="181"/>
      <c r="N245" s="181"/>
      <c r="O245" s="181"/>
      <c r="P245" s="181"/>
      <c r="Q245" s="181"/>
      <c r="R245" s="181"/>
      <c r="S245" s="181"/>
      <c r="T245" s="181"/>
      <c r="U245" s="181"/>
      <c r="V245" s="181"/>
      <c r="W245" s="181"/>
      <c r="X245" s="181"/>
      <c r="Y245" s="181"/>
      <c r="Z245" s="181"/>
      <c r="AA245" s="181"/>
    </row>
    <row r="246" spans="2:27" ht="15">
      <c r="B246" s="178"/>
      <c r="C246" s="181"/>
      <c r="D246" s="181"/>
      <c r="E246" s="181"/>
      <c r="F246" s="181"/>
      <c r="G246" s="181"/>
      <c r="H246" s="181"/>
      <c r="I246" s="181"/>
      <c r="J246" s="181"/>
      <c r="K246" s="181"/>
      <c r="L246" s="181"/>
      <c r="M246" s="181"/>
      <c r="N246" s="181"/>
      <c r="O246" s="181"/>
      <c r="P246" s="181"/>
      <c r="Q246" s="181"/>
      <c r="R246" s="181"/>
      <c r="S246" s="181"/>
      <c r="T246" s="181"/>
      <c r="U246" s="181"/>
      <c r="V246" s="181"/>
      <c r="W246" s="181"/>
      <c r="X246" s="181"/>
      <c r="Y246" s="181"/>
      <c r="Z246" s="181"/>
      <c r="AA246" s="181"/>
    </row>
    <row r="247" spans="2:27" ht="15">
      <c r="B247" s="178"/>
      <c r="C247" s="181"/>
      <c r="D247" s="181"/>
      <c r="E247" s="181"/>
      <c r="F247" s="181"/>
      <c r="G247" s="181"/>
      <c r="H247" s="181"/>
      <c r="I247" s="181"/>
      <c r="J247" s="181"/>
      <c r="K247" s="181"/>
      <c r="L247" s="181"/>
      <c r="M247" s="181"/>
      <c r="N247" s="181"/>
      <c r="O247" s="181"/>
      <c r="P247" s="181"/>
      <c r="Q247" s="181"/>
      <c r="R247" s="181"/>
      <c r="S247" s="181"/>
      <c r="T247" s="181"/>
      <c r="U247" s="181"/>
      <c r="V247" s="181"/>
      <c r="W247" s="181"/>
      <c r="X247" s="181"/>
      <c r="Y247" s="181"/>
      <c r="Z247" s="181"/>
      <c r="AA247" s="181"/>
    </row>
    <row r="248" spans="2:27" ht="15">
      <c r="B248" s="178"/>
      <c r="C248" s="181"/>
      <c r="D248" s="181"/>
      <c r="E248" s="181"/>
      <c r="F248" s="181"/>
      <c r="G248" s="181"/>
      <c r="H248" s="181"/>
      <c r="I248" s="181"/>
      <c r="J248" s="181"/>
      <c r="K248" s="181"/>
      <c r="L248" s="181"/>
      <c r="M248" s="181"/>
      <c r="N248" s="181"/>
      <c r="O248" s="181"/>
      <c r="P248" s="181"/>
      <c r="Q248" s="181"/>
      <c r="R248" s="181"/>
      <c r="S248" s="181"/>
      <c r="T248" s="181"/>
      <c r="U248" s="181"/>
      <c r="V248" s="181"/>
      <c r="W248" s="181"/>
      <c r="X248" s="181"/>
      <c r="Y248" s="181"/>
      <c r="Z248" s="181"/>
      <c r="AA248" s="181"/>
    </row>
    <row r="249" spans="2:27" ht="15">
      <c r="B249" s="178"/>
      <c r="C249" s="181"/>
      <c r="D249" s="181"/>
      <c r="E249" s="181"/>
      <c r="F249" s="181"/>
      <c r="G249" s="181"/>
      <c r="H249" s="181"/>
      <c r="I249" s="181"/>
      <c r="J249" s="181"/>
      <c r="K249" s="181"/>
      <c r="L249" s="181"/>
      <c r="M249" s="181"/>
      <c r="N249" s="181"/>
      <c r="O249" s="181"/>
      <c r="P249" s="181"/>
      <c r="Q249" s="181"/>
      <c r="R249" s="181"/>
      <c r="S249" s="181"/>
      <c r="T249" s="181"/>
      <c r="U249" s="181"/>
      <c r="V249" s="181"/>
      <c r="W249" s="181"/>
      <c r="X249" s="181"/>
      <c r="Y249" s="181"/>
      <c r="Z249" s="181"/>
      <c r="AA249" s="181"/>
    </row>
    <row r="250" spans="2:27" ht="15">
      <c r="B250" s="178"/>
      <c r="C250" s="181"/>
      <c r="D250" s="181"/>
      <c r="E250" s="181"/>
      <c r="F250" s="181"/>
      <c r="G250" s="181"/>
      <c r="H250" s="181"/>
      <c r="I250" s="181"/>
      <c r="J250" s="181"/>
      <c r="K250" s="181"/>
      <c r="L250" s="181"/>
      <c r="M250" s="181"/>
      <c r="N250" s="181"/>
      <c r="O250" s="181"/>
      <c r="P250" s="181"/>
      <c r="Q250" s="181"/>
      <c r="R250" s="181"/>
      <c r="S250" s="181"/>
      <c r="T250" s="181"/>
      <c r="U250" s="181"/>
      <c r="V250" s="181"/>
      <c r="W250" s="181"/>
      <c r="X250" s="181"/>
      <c r="Y250" s="181"/>
      <c r="Z250" s="181"/>
      <c r="AA250" s="181"/>
    </row>
    <row r="251" spans="2:27" ht="15">
      <c r="B251" s="178"/>
      <c r="C251" s="181"/>
      <c r="D251" s="181"/>
      <c r="E251" s="181"/>
      <c r="F251" s="181"/>
      <c r="G251" s="181"/>
      <c r="H251" s="181"/>
      <c r="I251" s="181"/>
      <c r="J251" s="181"/>
      <c r="K251" s="181"/>
      <c r="L251" s="181"/>
      <c r="M251" s="181"/>
      <c r="N251" s="181"/>
      <c r="O251" s="181"/>
      <c r="P251" s="181"/>
      <c r="Q251" s="181"/>
      <c r="R251" s="181"/>
      <c r="S251" s="181"/>
      <c r="T251" s="181"/>
      <c r="U251" s="181"/>
      <c r="V251" s="181"/>
      <c r="W251" s="181"/>
      <c r="X251" s="181"/>
      <c r="Y251" s="181"/>
      <c r="Z251" s="181"/>
      <c r="AA251" s="181"/>
    </row>
    <row r="252" spans="2:27" ht="15">
      <c r="B252" s="178"/>
      <c r="C252" s="181"/>
      <c r="D252" s="181"/>
      <c r="E252" s="181"/>
      <c r="F252" s="181"/>
      <c r="G252" s="181"/>
      <c r="H252" s="181"/>
      <c r="I252" s="181"/>
      <c r="J252" s="181"/>
      <c r="K252" s="181"/>
      <c r="L252" s="181"/>
      <c r="M252" s="181"/>
      <c r="N252" s="181"/>
      <c r="O252" s="181"/>
      <c r="P252" s="181"/>
      <c r="Q252" s="181"/>
      <c r="R252" s="181"/>
      <c r="S252" s="181"/>
      <c r="T252" s="181"/>
      <c r="U252" s="181"/>
      <c r="V252" s="181"/>
      <c r="W252" s="181"/>
      <c r="X252" s="181"/>
      <c r="Y252" s="181"/>
      <c r="Z252" s="181"/>
      <c r="AA252" s="181"/>
    </row>
    <row r="253" spans="2:27" ht="15">
      <c r="B253" s="178"/>
      <c r="C253" s="181"/>
      <c r="D253" s="181"/>
      <c r="E253" s="181"/>
      <c r="F253" s="181"/>
      <c r="G253" s="181"/>
      <c r="H253" s="181"/>
      <c r="I253" s="181"/>
      <c r="J253" s="181"/>
      <c r="K253" s="181"/>
      <c r="L253" s="181"/>
      <c r="M253" s="181"/>
      <c r="N253" s="181"/>
      <c r="O253" s="181"/>
      <c r="P253" s="181"/>
      <c r="Q253" s="181"/>
      <c r="R253" s="181"/>
      <c r="S253" s="181"/>
      <c r="T253" s="181"/>
      <c r="U253" s="181"/>
      <c r="V253" s="181"/>
      <c r="W253" s="181"/>
      <c r="X253" s="181"/>
      <c r="Y253" s="181"/>
      <c r="Z253" s="181"/>
      <c r="AA253" s="181"/>
    </row>
    <row r="254" spans="2:27" ht="15">
      <c r="B254" s="178"/>
      <c r="C254" s="181"/>
      <c r="D254" s="181"/>
      <c r="E254" s="181"/>
      <c r="F254" s="181"/>
      <c r="G254" s="181"/>
      <c r="H254" s="181"/>
      <c r="I254" s="181"/>
      <c r="J254" s="181"/>
      <c r="K254" s="181"/>
      <c r="L254" s="181"/>
      <c r="M254" s="181"/>
      <c r="N254" s="181"/>
      <c r="O254" s="181"/>
      <c r="P254" s="181"/>
      <c r="Q254" s="181"/>
      <c r="R254" s="181"/>
      <c r="S254" s="181"/>
      <c r="T254" s="181"/>
      <c r="U254" s="181"/>
      <c r="V254" s="181"/>
      <c r="W254" s="181"/>
      <c r="X254" s="181"/>
      <c r="Y254" s="181"/>
      <c r="Z254" s="181"/>
      <c r="AA254" s="181"/>
    </row>
    <row r="255" spans="2:27" ht="15">
      <c r="B255" s="178"/>
      <c r="C255" s="181"/>
      <c r="D255" s="181"/>
      <c r="E255" s="181"/>
      <c r="F255" s="181"/>
      <c r="G255" s="181"/>
      <c r="H255" s="181"/>
      <c r="I255" s="181"/>
      <c r="J255" s="181"/>
      <c r="K255" s="181"/>
      <c r="L255" s="181"/>
      <c r="M255" s="181"/>
      <c r="N255" s="181"/>
      <c r="O255" s="181"/>
      <c r="P255" s="181"/>
      <c r="Q255" s="181"/>
      <c r="R255" s="181"/>
      <c r="S255" s="181"/>
      <c r="T255" s="181"/>
      <c r="U255" s="181"/>
      <c r="V255" s="181"/>
      <c r="W255" s="181"/>
      <c r="X255" s="181"/>
      <c r="Y255" s="181"/>
      <c r="Z255" s="181"/>
      <c r="AA255" s="181"/>
    </row>
    <row r="256" spans="2:27" ht="15">
      <c r="B256" s="178"/>
      <c r="C256" s="181"/>
      <c r="D256" s="181"/>
      <c r="E256" s="181"/>
      <c r="F256" s="181"/>
      <c r="G256" s="181"/>
      <c r="H256" s="181"/>
      <c r="I256" s="181"/>
      <c r="J256" s="181"/>
      <c r="K256" s="181"/>
      <c r="L256" s="181"/>
      <c r="M256" s="181"/>
      <c r="N256" s="181"/>
      <c r="O256" s="181"/>
      <c r="P256" s="181"/>
      <c r="Q256" s="181"/>
      <c r="R256" s="181"/>
      <c r="S256" s="181"/>
      <c r="T256" s="181"/>
      <c r="U256" s="181"/>
      <c r="V256" s="181"/>
      <c r="W256" s="181"/>
      <c r="X256" s="181"/>
      <c r="Y256" s="181"/>
      <c r="Z256" s="181"/>
      <c r="AA256" s="181"/>
    </row>
    <row r="257" spans="2:27" ht="15">
      <c r="B257" s="178"/>
      <c r="C257" s="181"/>
      <c r="D257" s="181"/>
      <c r="E257" s="181"/>
      <c r="F257" s="181"/>
      <c r="G257" s="181"/>
      <c r="H257" s="181"/>
      <c r="I257" s="181"/>
      <c r="J257" s="181"/>
      <c r="K257" s="181"/>
      <c r="L257" s="181"/>
      <c r="M257" s="181"/>
      <c r="N257" s="181"/>
      <c r="O257" s="181"/>
      <c r="P257" s="181"/>
      <c r="Q257" s="181"/>
      <c r="R257" s="181"/>
      <c r="S257" s="181"/>
      <c r="T257" s="181"/>
      <c r="U257" s="181"/>
      <c r="V257" s="181"/>
      <c r="W257" s="181"/>
      <c r="X257" s="181"/>
      <c r="Y257" s="181"/>
      <c r="Z257" s="181"/>
      <c r="AA257" s="181"/>
    </row>
    <row r="258" spans="2:27" ht="15">
      <c r="B258" s="178"/>
      <c r="C258" s="181"/>
      <c r="D258" s="181"/>
      <c r="E258" s="181"/>
      <c r="F258" s="181"/>
      <c r="G258" s="181"/>
      <c r="H258" s="181"/>
      <c r="I258" s="181"/>
      <c r="J258" s="181"/>
      <c r="K258" s="181"/>
      <c r="L258" s="181"/>
      <c r="M258" s="181"/>
      <c r="N258" s="181"/>
      <c r="O258" s="181"/>
      <c r="P258" s="181"/>
      <c r="Q258" s="181"/>
      <c r="R258" s="181"/>
      <c r="S258" s="181"/>
      <c r="T258" s="181"/>
      <c r="U258" s="181"/>
      <c r="V258" s="181"/>
      <c r="W258" s="181"/>
      <c r="X258" s="181"/>
      <c r="Y258" s="181"/>
      <c r="Z258" s="181"/>
      <c r="AA258" s="181"/>
    </row>
    <row r="259" spans="2:27" ht="15">
      <c r="B259" s="178"/>
      <c r="C259" s="181"/>
      <c r="D259" s="181"/>
      <c r="E259" s="181"/>
      <c r="F259" s="181"/>
      <c r="G259" s="181"/>
      <c r="H259" s="181"/>
      <c r="I259" s="181"/>
      <c r="J259" s="181"/>
      <c r="K259" s="181"/>
      <c r="L259" s="181"/>
      <c r="M259" s="181"/>
      <c r="N259" s="181"/>
      <c r="O259" s="181"/>
      <c r="P259" s="181"/>
      <c r="Q259" s="181"/>
      <c r="R259" s="181"/>
      <c r="S259" s="181"/>
      <c r="T259" s="181"/>
      <c r="U259" s="181"/>
      <c r="V259" s="181"/>
      <c r="W259" s="181"/>
      <c r="X259" s="181"/>
      <c r="Y259" s="181"/>
      <c r="Z259" s="181"/>
      <c r="AA259" s="181"/>
    </row>
    <row r="260" spans="2:27" ht="15">
      <c r="B260" s="178"/>
      <c r="C260" s="181"/>
      <c r="D260" s="181"/>
      <c r="E260" s="181"/>
      <c r="F260" s="181"/>
      <c r="G260" s="181"/>
      <c r="H260" s="181"/>
      <c r="I260" s="181"/>
      <c r="J260" s="181"/>
      <c r="K260" s="181"/>
      <c r="L260" s="181"/>
      <c r="M260" s="181"/>
      <c r="N260" s="181"/>
      <c r="O260" s="181"/>
      <c r="P260" s="181"/>
      <c r="Q260" s="181"/>
      <c r="R260" s="181"/>
      <c r="S260" s="181"/>
      <c r="T260" s="181"/>
      <c r="U260" s="181"/>
      <c r="V260" s="181"/>
      <c r="W260" s="181"/>
      <c r="X260" s="181"/>
      <c r="Y260" s="181"/>
      <c r="Z260" s="181"/>
      <c r="AA260" s="181"/>
    </row>
    <row r="261" spans="2:27" ht="15">
      <c r="B261" s="178"/>
      <c r="C261" s="181"/>
      <c r="D261" s="181"/>
      <c r="E261" s="181"/>
      <c r="F261" s="181"/>
      <c r="G261" s="181"/>
      <c r="H261" s="181"/>
      <c r="I261" s="181"/>
      <c r="J261" s="181"/>
      <c r="K261" s="181"/>
      <c r="L261" s="181"/>
      <c r="M261" s="181"/>
      <c r="N261" s="181"/>
      <c r="O261" s="181"/>
      <c r="P261" s="181"/>
      <c r="Q261" s="181"/>
      <c r="R261" s="181"/>
      <c r="S261" s="181"/>
      <c r="T261" s="181"/>
      <c r="U261" s="181"/>
      <c r="V261" s="181"/>
      <c r="W261" s="181"/>
      <c r="X261" s="181"/>
      <c r="Y261" s="181"/>
      <c r="Z261" s="181"/>
      <c r="AA261" s="181"/>
    </row>
    <row r="262" spans="2:27" ht="15">
      <c r="B262" s="178"/>
      <c r="C262" s="181"/>
      <c r="D262" s="181"/>
      <c r="E262" s="181"/>
      <c r="F262" s="181"/>
      <c r="G262" s="181"/>
      <c r="H262" s="181"/>
      <c r="I262" s="181"/>
      <c r="J262" s="181"/>
      <c r="K262" s="181"/>
      <c r="L262" s="181"/>
      <c r="M262" s="181"/>
      <c r="N262" s="181"/>
      <c r="O262" s="181"/>
      <c r="P262" s="181"/>
      <c r="Q262" s="181"/>
      <c r="R262" s="181"/>
      <c r="S262" s="181"/>
      <c r="T262" s="181"/>
      <c r="U262" s="181"/>
      <c r="V262" s="181"/>
      <c r="W262" s="181"/>
      <c r="X262" s="181"/>
      <c r="Y262" s="181"/>
      <c r="Z262" s="181"/>
      <c r="AA262" s="181"/>
    </row>
    <row r="263" spans="2:27" ht="15">
      <c r="B263" s="178"/>
      <c r="C263" s="181"/>
      <c r="D263" s="181"/>
      <c r="E263" s="181"/>
      <c r="F263" s="181"/>
      <c r="G263" s="181"/>
      <c r="H263" s="181"/>
      <c r="I263" s="181"/>
      <c r="J263" s="181"/>
      <c r="K263" s="181"/>
      <c r="L263" s="181"/>
      <c r="M263" s="181"/>
      <c r="N263" s="181"/>
      <c r="O263" s="181"/>
      <c r="P263" s="181"/>
      <c r="Q263" s="181"/>
      <c r="R263" s="181"/>
      <c r="S263" s="181"/>
      <c r="T263" s="181"/>
      <c r="U263" s="181"/>
      <c r="V263" s="181"/>
      <c r="W263" s="181"/>
      <c r="X263" s="181"/>
      <c r="Y263" s="181"/>
      <c r="Z263" s="181"/>
      <c r="AA263" s="181"/>
    </row>
    <row r="264" spans="2:27" ht="15">
      <c r="B264" s="178"/>
      <c r="C264" s="181"/>
      <c r="D264" s="181"/>
      <c r="E264" s="181"/>
      <c r="F264" s="181"/>
      <c r="G264" s="181"/>
      <c r="H264" s="181"/>
      <c r="I264" s="181"/>
      <c r="J264" s="181"/>
      <c r="K264" s="181"/>
      <c r="L264" s="181"/>
      <c r="M264" s="181"/>
      <c r="N264" s="181"/>
      <c r="O264" s="181"/>
      <c r="P264" s="181"/>
      <c r="Q264" s="181"/>
      <c r="R264" s="181"/>
      <c r="S264" s="181"/>
      <c r="T264" s="181"/>
      <c r="U264" s="181"/>
      <c r="V264" s="181"/>
      <c r="W264" s="181"/>
      <c r="X264" s="181"/>
      <c r="Y264" s="181"/>
      <c r="Z264" s="181"/>
      <c r="AA264" s="181"/>
    </row>
    <row r="265" spans="2:27" ht="15">
      <c r="B265" s="178"/>
      <c r="C265" s="181"/>
      <c r="D265" s="181"/>
      <c r="E265" s="181"/>
      <c r="F265" s="181"/>
      <c r="G265" s="181"/>
      <c r="H265" s="181"/>
      <c r="I265" s="181"/>
      <c r="J265" s="181"/>
      <c r="K265" s="181"/>
      <c r="L265" s="181"/>
      <c r="M265" s="181"/>
      <c r="N265" s="181"/>
      <c r="O265" s="181"/>
      <c r="P265" s="181"/>
      <c r="Q265" s="181"/>
      <c r="R265" s="181"/>
      <c r="S265" s="181"/>
      <c r="T265" s="181"/>
      <c r="U265" s="181"/>
      <c r="V265" s="181"/>
      <c r="W265" s="181"/>
      <c r="X265" s="181"/>
      <c r="Y265" s="181"/>
      <c r="Z265" s="181"/>
      <c r="AA265" s="181"/>
    </row>
    <row r="266" spans="2:27" ht="15">
      <c r="B266" s="178"/>
      <c r="C266" s="181"/>
      <c r="D266" s="181"/>
      <c r="E266" s="181"/>
      <c r="F266" s="181"/>
      <c r="G266" s="181"/>
      <c r="H266" s="181"/>
      <c r="I266" s="181"/>
      <c r="J266" s="181"/>
      <c r="K266" s="181"/>
      <c r="L266" s="181"/>
      <c r="M266" s="181"/>
      <c r="N266" s="181"/>
      <c r="O266" s="181"/>
      <c r="P266" s="181"/>
      <c r="Q266" s="181"/>
      <c r="R266" s="181"/>
      <c r="S266" s="181"/>
      <c r="T266" s="181"/>
      <c r="U266" s="181"/>
      <c r="V266" s="181"/>
      <c r="W266" s="181"/>
      <c r="X266" s="181"/>
      <c r="Y266" s="181"/>
      <c r="Z266" s="181"/>
      <c r="AA266" s="181"/>
    </row>
    <row r="267" spans="2:27" ht="15">
      <c r="B267" s="178"/>
      <c r="C267" s="181"/>
      <c r="D267" s="181"/>
      <c r="E267" s="181"/>
      <c r="F267" s="181"/>
      <c r="G267" s="181"/>
      <c r="H267" s="181"/>
      <c r="I267" s="181"/>
      <c r="J267" s="181"/>
      <c r="K267" s="181"/>
      <c r="L267" s="181"/>
      <c r="M267" s="181"/>
      <c r="N267" s="181"/>
      <c r="O267" s="181"/>
      <c r="P267" s="181"/>
      <c r="Q267" s="181"/>
      <c r="R267" s="181"/>
      <c r="S267" s="181"/>
      <c r="T267" s="181"/>
      <c r="U267" s="181"/>
      <c r="V267" s="181"/>
      <c r="W267" s="181"/>
      <c r="X267" s="181"/>
      <c r="Y267" s="181"/>
      <c r="Z267" s="181"/>
      <c r="AA267" s="181"/>
    </row>
    <row r="268" spans="2:27" ht="15">
      <c r="B268" s="178"/>
      <c r="C268" s="181"/>
      <c r="D268" s="181"/>
      <c r="E268" s="181"/>
      <c r="F268" s="181"/>
      <c r="G268" s="181"/>
      <c r="H268" s="181"/>
      <c r="I268" s="181"/>
      <c r="J268" s="181"/>
      <c r="K268" s="181"/>
      <c r="L268" s="181"/>
      <c r="M268" s="181"/>
      <c r="N268" s="181"/>
      <c r="O268" s="181"/>
      <c r="P268" s="181"/>
      <c r="Q268" s="181"/>
      <c r="R268" s="181"/>
      <c r="S268" s="181"/>
      <c r="T268" s="181"/>
      <c r="U268" s="181"/>
      <c r="V268" s="181"/>
      <c r="W268" s="181"/>
      <c r="X268" s="181"/>
      <c r="Y268" s="181"/>
      <c r="Z268" s="181"/>
      <c r="AA268" s="181"/>
    </row>
    <row r="269" spans="2:27" ht="15">
      <c r="B269" s="178"/>
      <c r="C269" s="181"/>
      <c r="D269" s="181"/>
      <c r="E269" s="181"/>
      <c r="F269" s="181"/>
      <c r="G269" s="181"/>
      <c r="H269" s="181"/>
      <c r="I269" s="181"/>
      <c r="J269" s="181"/>
      <c r="K269" s="181"/>
      <c r="L269" s="181"/>
      <c r="M269" s="181"/>
      <c r="N269" s="181"/>
      <c r="O269" s="181"/>
      <c r="P269" s="181"/>
      <c r="Q269" s="181"/>
      <c r="R269" s="181"/>
      <c r="S269" s="181"/>
      <c r="T269" s="181"/>
      <c r="U269" s="181"/>
      <c r="V269" s="181"/>
      <c r="W269" s="181"/>
      <c r="X269" s="181"/>
      <c r="Y269" s="181"/>
      <c r="Z269" s="181"/>
      <c r="AA269" s="181"/>
    </row>
    <row r="270" spans="2:27" ht="15">
      <c r="B270" s="178"/>
      <c r="C270" s="181"/>
      <c r="D270" s="181"/>
      <c r="E270" s="181"/>
      <c r="F270" s="181"/>
      <c r="G270" s="181"/>
      <c r="H270" s="181"/>
      <c r="I270" s="181"/>
      <c r="J270" s="181"/>
      <c r="K270" s="181"/>
      <c r="L270" s="181"/>
      <c r="M270" s="181"/>
      <c r="N270" s="181"/>
      <c r="O270" s="181"/>
      <c r="P270" s="181"/>
      <c r="Q270" s="181"/>
      <c r="R270" s="181"/>
      <c r="S270" s="181"/>
      <c r="T270" s="181"/>
      <c r="U270" s="181"/>
      <c r="V270" s="181"/>
      <c r="W270" s="181"/>
      <c r="X270" s="181"/>
      <c r="Y270" s="181"/>
      <c r="Z270" s="181"/>
      <c r="AA270" s="181"/>
    </row>
    <row r="271" spans="2:27" ht="15">
      <c r="B271" s="178"/>
      <c r="C271" s="181"/>
      <c r="D271" s="181"/>
      <c r="E271" s="181"/>
      <c r="F271" s="181"/>
      <c r="G271" s="181"/>
      <c r="H271" s="181"/>
      <c r="I271" s="181"/>
      <c r="J271" s="181"/>
      <c r="K271" s="181"/>
      <c r="L271" s="181"/>
      <c r="M271" s="181"/>
      <c r="N271" s="181"/>
      <c r="O271" s="181"/>
      <c r="P271" s="181"/>
      <c r="Q271" s="181"/>
      <c r="R271" s="181"/>
      <c r="S271" s="181"/>
      <c r="T271" s="181"/>
      <c r="U271" s="181"/>
      <c r="V271" s="181"/>
      <c r="W271" s="181"/>
      <c r="X271" s="181"/>
      <c r="Y271" s="181"/>
      <c r="Z271" s="181"/>
      <c r="AA271" s="181"/>
    </row>
    <row r="272" spans="2:27" ht="15">
      <c r="B272" s="178"/>
      <c r="C272" s="181"/>
      <c r="D272" s="181"/>
      <c r="E272" s="181"/>
      <c r="F272" s="181"/>
      <c r="G272" s="181"/>
      <c r="H272" s="181"/>
      <c r="I272" s="181"/>
      <c r="J272" s="181"/>
      <c r="K272" s="181"/>
      <c r="L272" s="181"/>
      <c r="M272" s="181"/>
      <c r="N272" s="181"/>
      <c r="O272" s="181"/>
      <c r="P272" s="181"/>
      <c r="Q272" s="181"/>
      <c r="R272" s="181"/>
      <c r="S272" s="181"/>
      <c r="T272" s="181"/>
      <c r="U272" s="181"/>
      <c r="V272" s="181"/>
      <c r="W272" s="181"/>
      <c r="X272" s="181"/>
      <c r="Y272" s="181"/>
      <c r="Z272" s="181"/>
      <c r="AA272" s="181"/>
    </row>
    <row r="273" spans="2:27" ht="15">
      <c r="B273" s="178"/>
      <c r="C273" s="181"/>
      <c r="D273" s="181"/>
      <c r="E273" s="181"/>
      <c r="F273" s="181"/>
      <c r="G273" s="181"/>
      <c r="H273" s="181"/>
      <c r="I273" s="181"/>
      <c r="J273" s="181"/>
      <c r="K273" s="181"/>
      <c r="L273" s="181"/>
      <c r="M273" s="181"/>
      <c r="N273" s="181"/>
      <c r="O273" s="181"/>
      <c r="P273" s="181"/>
      <c r="Q273" s="181"/>
      <c r="R273" s="181"/>
      <c r="S273" s="181"/>
      <c r="T273" s="181"/>
      <c r="U273" s="181"/>
      <c r="V273" s="181"/>
      <c r="W273" s="181"/>
      <c r="X273" s="181"/>
      <c r="Y273" s="181"/>
      <c r="Z273" s="181"/>
      <c r="AA273" s="181"/>
    </row>
    <row r="274" spans="2:27" ht="15">
      <c r="B274" s="178"/>
      <c r="C274" s="181"/>
      <c r="D274" s="181"/>
      <c r="E274" s="181"/>
      <c r="F274" s="181"/>
      <c r="G274" s="181"/>
      <c r="H274" s="181"/>
      <c r="I274" s="181"/>
      <c r="J274" s="181"/>
      <c r="K274" s="181"/>
      <c r="L274" s="181"/>
      <c r="M274" s="181"/>
      <c r="N274" s="181"/>
      <c r="O274" s="181"/>
      <c r="P274" s="181"/>
      <c r="Q274" s="181"/>
      <c r="R274" s="181"/>
      <c r="S274" s="181"/>
      <c r="T274" s="181"/>
      <c r="U274" s="181"/>
      <c r="V274" s="181"/>
      <c r="W274" s="181"/>
      <c r="X274" s="181"/>
      <c r="Y274" s="181"/>
      <c r="Z274" s="181"/>
      <c r="AA274" s="181"/>
    </row>
    <row r="275" spans="2:27" ht="15">
      <c r="B275" s="178"/>
      <c r="C275" s="181"/>
      <c r="D275" s="181"/>
      <c r="E275" s="181"/>
      <c r="F275" s="181"/>
      <c r="G275" s="181"/>
      <c r="H275" s="181"/>
      <c r="I275" s="181"/>
      <c r="J275" s="181"/>
      <c r="K275" s="181"/>
      <c r="L275" s="181"/>
      <c r="M275" s="181"/>
      <c r="N275" s="181"/>
      <c r="O275" s="181"/>
      <c r="P275" s="181"/>
      <c r="Q275" s="181"/>
      <c r="R275" s="181"/>
      <c r="S275" s="181"/>
      <c r="T275" s="181"/>
      <c r="U275" s="181"/>
      <c r="V275" s="181"/>
      <c r="W275" s="181"/>
      <c r="X275" s="181"/>
      <c r="Y275" s="181"/>
      <c r="Z275" s="181"/>
      <c r="AA275" s="181"/>
    </row>
    <row r="276" spans="2:27" ht="15">
      <c r="B276" s="178"/>
      <c r="C276" s="181"/>
      <c r="D276" s="181"/>
      <c r="E276" s="181"/>
      <c r="F276" s="181"/>
      <c r="G276" s="181"/>
      <c r="H276" s="181"/>
      <c r="I276" s="181"/>
      <c r="J276" s="181"/>
      <c r="K276" s="181"/>
      <c r="L276" s="181"/>
      <c r="M276" s="181"/>
      <c r="N276" s="181"/>
      <c r="O276" s="181"/>
      <c r="P276" s="181"/>
      <c r="Q276" s="181"/>
      <c r="R276" s="181"/>
      <c r="S276" s="181"/>
      <c r="T276" s="181"/>
      <c r="U276" s="181"/>
      <c r="V276" s="181"/>
      <c r="W276" s="181"/>
      <c r="X276" s="181"/>
      <c r="Y276" s="181"/>
      <c r="Z276" s="181"/>
      <c r="AA276" s="181"/>
    </row>
    <row r="277" spans="2:27" ht="15">
      <c r="B277" s="178"/>
      <c r="C277" s="181"/>
      <c r="D277" s="181"/>
      <c r="E277" s="181"/>
      <c r="F277" s="181"/>
      <c r="G277" s="181"/>
      <c r="H277" s="181"/>
      <c r="I277" s="181"/>
      <c r="J277" s="181"/>
      <c r="K277" s="181"/>
      <c r="L277" s="181"/>
      <c r="M277" s="181"/>
      <c r="N277" s="181"/>
      <c r="O277" s="181"/>
      <c r="P277" s="181"/>
      <c r="Q277" s="181"/>
      <c r="R277" s="181"/>
      <c r="S277" s="181"/>
      <c r="T277" s="181"/>
      <c r="U277" s="181"/>
      <c r="V277" s="181"/>
      <c r="W277" s="181"/>
      <c r="X277" s="181"/>
      <c r="Y277" s="181"/>
      <c r="Z277" s="181"/>
      <c r="AA277" s="181"/>
    </row>
    <row r="278" spans="2:27" ht="15">
      <c r="B278" s="178"/>
      <c r="C278" s="181"/>
      <c r="D278" s="181"/>
      <c r="E278" s="181"/>
      <c r="F278" s="181"/>
      <c r="G278" s="181"/>
      <c r="H278" s="181"/>
      <c r="I278" s="181"/>
      <c r="J278" s="181"/>
      <c r="K278" s="181"/>
      <c r="L278" s="181"/>
      <c r="M278" s="181"/>
      <c r="N278" s="181"/>
      <c r="O278" s="181"/>
      <c r="P278" s="181"/>
      <c r="Q278" s="181"/>
      <c r="R278" s="181"/>
      <c r="S278" s="181"/>
      <c r="T278" s="181"/>
      <c r="U278" s="181"/>
      <c r="V278" s="181"/>
      <c r="W278" s="181"/>
      <c r="X278" s="181"/>
      <c r="Y278" s="181"/>
      <c r="Z278" s="181"/>
      <c r="AA278" s="181"/>
    </row>
    <row r="279" spans="2:27" ht="15">
      <c r="B279" s="178"/>
      <c r="C279" s="181"/>
      <c r="D279" s="181"/>
      <c r="E279" s="181"/>
      <c r="F279" s="181"/>
      <c r="G279" s="181"/>
      <c r="H279" s="181"/>
      <c r="I279" s="181"/>
      <c r="J279" s="181"/>
      <c r="K279" s="181"/>
      <c r="L279" s="181"/>
      <c r="M279" s="181"/>
      <c r="N279" s="181"/>
      <c r="O279" s="181"/>
      <c r="P279" s="181"/>
      <c r="Q279" s="181"/>
      <c r="R279" s="181"/>
      <c r="S279" s="181"/>
      <c r="T279" s="181"/>
      <c r="U279" s="181"/>
      <c r="V279" s="181"/>
      <c r="W279" s="181"/>
      <c r="X279" s="181"/>
      <c r="Y279" s="181"/>
      <c r="Z279" s="181"/>
      <c r="AA279" s="181"/>
    </row>
    <row r="280" spans="2:27" ht="15">
      <c r="B280" s="178"/>
      <c r="C280" s="181"/>
      <c r="D280" s="181"/>
      <c r="E280" s="181"/>
      <c r="F280" s="181"/>
      <c r="G280" s="181"/>
      <c r="H280" s="181"/>
      <c r="I280" s="181"/>
      <c r="J280" s="181"/>
      <c r="K280" s="181"/>
      <c r="L280" s="181"/>
      <c r="M280" s="181"/>
      <c r="N280" s="181"/>
      <c r="O280" s="181"/>
      <c r="P280" s="181"/>
      <c r="Q280" s="181"/>
      <c r="R280" s="181"/>
      <c r="S280" s="181"/>
      <c r="T280" s="181"/>
      <c r="U280" s="181"/>
      <c r="V280" s="181"/>
      <c r="W280" s="181"/>
      <c r="X280" s="181"/>
      <c r="Y280" s="181"/>
      <c r="Z280" s="181"/>
      <c r="AA280" s="181"/>
    </row>
    <row r="281" spans="2:27" ht="15">
      <c r="B281" s="178"/>
      <c r="C281" s="181"/>
      <c r="D281" s="181"/>
      <c r="E281" s="181"/>
      <c r="F281" s="181"/>
      <c r="G281" s="181"/>
      <c r="H281" s="181"/>
      <c r="I281" s="181"/>
      <c r="J281" s="181"/>
      <c r="K281" s="181"/>
      <c r="L281" s="181"/>
      <c r="M281" s="181"/>
      <c r="N281" s="181"/>
      <c r="O281" s="181"/>
      <c r="P281" s="181"/>
      <c r="Q281" s="181"/>
      <c r="R281" s="181"/>
      <c r="S281" s="181"/>
      <c r="T281" s="181"/>
      <c r="U281" s="181"/>
      <c r="V281" s="181"/>
      <c r="W281" s="181"/>
      <c r="X281" s="181"/>
      <c r="Y281" s="181"/>
      <c r="Z281" s="181"/>
      <c r="AA281" s="181"/>
    </row>
    <row r="282" spans="2:27" ht="15">
      <c r="B282" s="178"/>
      <c r="C282" s="181"/>
      <c r="D282" s="181"/>
      <c r="E282" s="181"/>
      <c r="F282" s="181"/>
      <c r="G282" s="181"/>
      <c r="H282" s="181"/>
      <c r="I282" s="181"/>
      <c r="J282" s="181"/>
      <c r="K282" s="181"/>
      <c r="L282" s="181"/>
      <c r="M282" s="181"/>
      <c r="N282" s="181"/>
      <c r="O282" s="181"/>
      <c r="P282" s="181"/>
      <c r="Q282" s="181"/>
      <c r="R282" s="181"/>
      <c r="S282" s="181"/>
      <c r="T282" s="181"/>
      <c r="U282" s="181"/>
      <c r="V282" s="181"/>
      <c r="W282" s="181"/>
      <c r="X282" s="181"/>
      <c r="Y282" s="181"/>
      <c r="Z282" s="181"/>
      <c r="AA282" s="181"/>
    </row>
    <row r="283" spans="2:27" ht="15">
      <c r="B283" s="178"/>
      <c r="C283" s="181"/>
      <c r="D283" s="181"/>
      <c r="E283" s="181"/>
      <c r="F283" s="181"/>
      <c r="G283" s="181"/>
      <c r="H283" s="181"/>
      <c r="I283" s="181"/>
      <c r="J283" s="181"/>
      <c r="K283" s="181"/>
      <c r="L283" s="181"/>
      <c r="M283" s="181"/>
      <c r="N283" s="181"/>
      <c r="O283" s="181"/>
      <c r="P283" s="181"/>
      <c r="Q283" s="181"/>
      <c r="R283" s="181"/>
      <c r="S283" s="181"/>
      <c r="T283" s="181"/>
      <c r="U283" s="181"/>
      <c r="V283" s="181"/>
      <c r="W283" s="181"/>
      <c r="X283" s="181"/>
      <c r="Y283" s="181"/>
      <c r="Z283" s="181"/>
      <c r="AA283" s="181"/>
    </row>
    <row r="284" spans="2:27" ht="15">
      <c r="B284" s="178"/>
      <c r="C284" s="181"/>
      <c r="D284" s="181"/>
      <c r="E284" s="181"/>
      <c r="F284" s="181"/>
      <c r="G284" s="181"/>
      <c r="H284" s="181"/>
      <c r="I284" s="181"/>
      <c r="J284" s="181"/>
      <c r="K284" s="181"/>
      <c r="L284" s="181"/>
      <c r="M284" s="181"/>
      <c r="N284" s="181"/>
      <c r="O284" s="181"/>
      <c r="P284" s="181"/>
      <c r="Q284" s="181"/>
      <c r="R284" s="181"/>
      <c r="S284" s="181"/>
      <c r="T284" s="181"/>
      <c r="U284" s="181"/>
      <c r="V284" s="181"/>
      <c r="W284" s="181"/>
      <c r="X284" s="181"/>
      <c r="Y284" s="181"/>
      <c r="Z284" s="181"/>
      <c r="AA284" s="181"/>
    </row>
    <row r="285" spans="2:27" ht="15">
      <c r="B285" s="178"/>
      <c r="C285" s="181"/>
      <c r="D285" s="181"/>
      <c r="E285" s="181"/>
      <c r="F285" s="181"/>
      <c r="G285" s="181"/>
      <c r="H285" s="181"/>
      <c r="I285" s="181"/>
      <c r="J285" s="181"/>
      <c r="K285" s="181"/>
      <c r="L285" s="181"/>
      <c r="M285" s="181"/>
      <c r="N285" s="181"/>
      <c r="O285" s="181"/>
      <c r="P285" s="181"/>
      <c r="Q285" s="181"/>
      <c r="R285" s="181"/>
      <c r="S285" s="181"/>
      <c r="T285" s="181"/>
      <c r="U285" s="181"/>
      <c r="V285" s="181"/>
      <c r="W285" s="181"/>
      <c r="X285" s="181"/>
      <c r="Y285" s="181"/>
      <c r="Z285" s="181"/>
      <c r="AA285" s="181"/>
    </row>
    <row r="286" spans="2:27" ht="15">
      <c r="B286" s="178"/>
      <c r="C286" s="181"/>
      <c r="D286" s="181"/>
      <c r="E286" s="181"/>
      <c r="F286" s="181"/>
      <c r="G286" s="181"/>
      <c r="H286" s="181"/>
      <c r="I286" s="181"/>
      <c r="J286" s="181"/>
      <c r="K286" s="181"/>
      <c r="L286" s="181"/>
      <c r="M286" s="181"/>
      <c r="N286" s="181"/>
      <c r="O286" s="181"/>
      <c r="P286" s="181"/>
      <c r="Q286" s="181"/>
      <c r="R286" s="181"/>
      <c r="S286" s="181"/>
      <c r="T286" s="181"/>
      <c r="U286" s="181"/>
      <c r="V286" s="181"/>
      <c r="W286" s="181"/>
      <c r="X286" s="181"/>
      <c r="Y286" s="181"/>
      <c r="Z286" s="181"/>
      <c r="AA286" s="181"/>
    </row>
    <row r="287" spans="2:27" ht="15">
      <c r="B287" s="178"/>
      <c r="C287" s="181"/>
      <c r="D287" s="181"/>
      <c r="E287" s="181"/>
      <c r="F287" s="181"/>
      <c r="G287" s="181"/>
      <c r="H287" s="181"/>
      <c r="I287" s="181"/>
      <c r="J287" s="181"/>
      <c r="K287" s="181"/>
      <c r="L287" s="181"/>
      <c r="M287" s="181"/>
      <c r="N287" s="181"/>
      <c r="O287" s="181"/>
      <c r="P287" s="181"/>
      <c r="Q287" s="181"/>
      <c r="R287" s="181"/>
      <c r="S287" s="181"/>
      <c r="T287" s="181"/>
      <c r="U287" s="181"/>
      <c r="V287" s="181"/>
      <c r="W287" s="181"/>
      <c r="X287" s="181"/>
      <c r="Y287" s="181"/>
      <c r="Z287" s="181"/>
      <c r="AA287" s="181"/>
    </row>
    <row r="288" spans="2:27" ht="15">
      <c r="B288" s="178"/>
      <c r="C288" s="181"/>
      <c r="D288" s="181"/>
      <c r="E288" s="181"/>
      <c r="F288" s="181"/>
      <c r="G288" s="181"/>
      <c r="H288" s="181"/>
      <c r="I288" s="181"/>
      <c r="J288" s="181"/>
      <c r="K288" s="181"/>
      <c r="L288" s="181"/>
      <c r="M288" s="181"/>
      <c r="N288" s="181"/>
      <c r="O288" s="181"/>
      <c r="P288" s="181"/>
      <c r="Q288" s="181"/>
      <c r="R288" s="181"/>
      <c r="S288" s="181"/>
      <c r="T288" s="181"/>
      <c r="U288" s="181"/>
      <c r="V288" s="181"/>
      <c r="W288" s="181"/>
      <c r="X288" s="181"/>
      <c r="Y288" s="181"/>
      <c r="Z288" s="181"/>
      <c r="AA288" s="181"/>
    </row>
    <row r="289" spans="2:27" ht="15">
      <c r="B289" s="178"/>
      <c r="C289" s="181"/>
      <c r="D289" s="181"/>
      <c r="E289" s="181"/>
      <c r="F289" s="181"/>
      <c r="G289" s="181"/>
      <c r="H289" s="181"/>
      <c r="I289" s="181"/>
      <c r="J289" s="181"/>
      <c r="K289" s="181"/>
      <c r="L289" s="181"/>
      <c r="M289" s="181"/>
      <c r="N289" s="181"/>
      <c r="O289" s="181"/>
      <c r="P289" s="181"/>
      <c r="Q289" s="181"/>
      <c r="R289" s="181"/>
      <c r="S289" s="181"/>
      <c r="T289" s="181"/>
      <c r="U289" s="181"/>
      <c r="V289" s="181"/>
      <c r="W289" s="181"/>
      <c r="X289" s="181"/>
      <c r="Y289" s="181"/>
      <c r="Z289" s="181"/>
      <c r="AA289" s="181"/>
    </row>
    <row r="290" spans="2:27" ht="15">
      <c r="B290" s="178"/>
      <c r="C290" s="181"/>
      <c r="D290" s="181"/>
      <c r="E290" s="181"/>
      <c r="F290" s="181"/>
      <c r="G290" s="181"/>
      <c r="H290" s="181"/>
      <c r="I290" s="181"/>
      <c r="J290" s="181"/>
      <c r="K290" s="181"/>
      <c r="L290" s="181"/>
      <c r="M290" s="181"/>
      <c r="N290" s="181"/>
      <c r="O290" s="181"/>
      <c r="P290" s="181"/>
      <c r="Q290" s="181"/>
      <c r="R290" s="181"/>
      <c r="S290" s="181"/>
      <c r="T290" s="181"/>
      <c r="U290" s="181"/>
      <c r="V290" s="181"/>
      <c r="W290" s="181"/>
      <c r="X290" s="181"/>
      <c r="Y290" s="181"/>
      <c r="Z290" s="181"/>
      <c r="AA290" s="181"/>
    </row>
    <row r="291" spans="2:27" ht="15">
      <c r="B291" s="178"/>
      <c r="C291" s="181"/>
      <c r="D291" s="181"/>
      <c r="E291" s="181"/>
      <c r="F291" s="181"/>
      <c r="G291" s="181"/>
      <c r="H291" s="181"/>
      <c r="I291" s="181"/>
      <c r="J291" s="181"/>
      <c r="K291" s="181"/>
      <c r="L291" s="181"/>
      <c r="M291" s="181"/>
      <c r="N291" s="181"/>
      <c r="O291" s="181"/>
      <c r="P291" s="181"/>
      <c r="Q291" s="181"/>
      <c r="R291" s="181"/>
      <c r="S291" s="181"/>
      <c r="T291" s="181"/>
      <c r="U291" s="181"/>
      <c r="V291" s="181"/>
      <c r="W291" s="181"/>
      <c r="X291" s="181"/>
      <c r="Y291" s="181"/>
      <c r="Z291" s="181"/>
      <c r="AA291" s="181"/>
    </row>
    <row r="292" spans="2:27" ht="15">
      <c r="B292" s="178"/>
      <c r="C292" s="181"/>
      <c r="D292" s="181"/>
      <c r="E292" s="181"/>
      <c r="F292" s="181"/>
      <c r="G292" s="181"/>
      <c r="H292" s="181"/>
      <c r="I292" s="181"/>
      <c r="J292" s="181"/>
      <c r="K292" s="181"/>
      <c r="L292" s="181"/>
      <c r="M292" s="181"/>
      <c r="N292" s="181"/>
      <c r="O292" s="181"/>
      <c r="P292" s="181"/>
      <c r="Q292" s="181"/>
      <c r="R292" s="181"/>
      <c r="S292" s="181"/>
      <c r="T292" s="181"/>
      <c r="U292" s="181"/>
      <c r="V292" s="181"/>
      <c r="W292" s="181"/>
      <c r="X292" s="181"/>
      <c r="Y292" s="181"/>
      <c r="Z292" s="181"/>
      <c r="AA292" s="181"/>
    </row>
    <row r="293" spans="2:27" ht="15">
      <c r="B293" s="178"/>
      <c r="C293" s="181"/>
      <c r="D293" s="181"/>
      <c r="E293" s="181"/>
      <c r="F293" s="181"/>
      <c r="G293" s="181"/>
      <c r="H293" s="181"/>
      <c r="I293" s="181"/>
      <c r="J293" s="181"/>
      <c r="K293" s="181"/>
      <c r="L293" s="181"/>
      <c r="M293" s="181"/>
      <c r="N293" s="181"/>
      <c r="O293" s="181"/>
      <c r="P293" s="181"/>
      <c r="Q293" s="181"/>
      <c r="R293" s="181"/>
      <c r="S293" s="181"/>
      <c r="T293" s="181"/>
      <c r="U293" s="181"/>
      <c r="V293" s="181"/>
      <c r="W293" s="181"/>
      <c r="X293" s="181"/>
      <c r="Y293" s="181"/>
      <c r="Z293" s="181"/>
      <c r="AA293" s="181"/>
    </row>
    <row r="294" spans="2:27" ht="15">
      <c r="B294" s="178"/>
      <c r="C294" s="181"/>
      <c r="D294" s="181"/>
      <c r="E294" s="181"/>
      <c r="F294" s="181"/>
      <c r="G294" s="181"/>
      <c r="H294" s="181"/>
      <c r="I294" s="181"/>
      <c r="J294" s="181"/>
      <c r="K294" s="181"/>
      <c r="L294" s="181"/>
      <c r="M294" s="181"/>
      <c r="N294" s="181"/>
      <c r="O294" s="181"/>
      <c r="P294" s="181"/>
      <c r="Q294" s="181"/>
      <c r="R294" s="181"/>
      <c r="S294" s="181"/>
      <c r="T294" s="181"/>
      <c r="U294" s="181"/>
      <c r="V294" s="181"/>
      <c r="W294" s="181"/>
      <c r="X294" s="181"/>
      <c r="Y294" s="181"/>
      <c r="Z294" s="181"/>
      <c r="AA294" s="181"/>
    </row>
    <row r="295" spans="2:27" ht="15">
      <c r="B295" s="178"/>
      <c r="C295" s="181"/>
      <c r="D295" s="181"/>
      <c r="E295" s="181"/>
      <c r="F295" s="181"/>
      <c r="G295" s="181"/>
      <c r="H295" s="181"/>
      <c r="I295" s="181"/>
      <c r="J295" s="181"/>
      <c r="K295" s="181"/>
      <c r="L295" s="181"/>
      <c r="M295" s="181"/>
      <c r="N295" s="181"/>
      <c r="O295" s="181"/>
      <c r="P295" s="181"/>
      <c r="Q295" s="181"/>
      <c r="R295" s="181"/>
      <c r="S295" s="181"/>
      <c r="T295" s="181"/>
      <c r="U295" s="181"/>
      <c r="V295" s="181"/>
      <c r="W295" s="181"/>
      <c r="X295" s="181"/>
      <c r="Y295" s="181"/>
      <c r="Z295" s="181"/>
      <c r="AA295" s="181"/>
    </row>
    <row r="296" spans="2:27" ht="15">
      <c r="B296" s="178"/>
      <c r="C296" s="181"/>
      <c r="D296" s="181"/>
      <c r="E296" s="181"/>
      <c r="F296" s="181"/>
      <c r="G296" s="181"/>
      <c r="H296" s="181"/>
      <c r="I296" s="181"/>
      <c r="J296" s="181"/>
      <c r="K296" s="181"/>
      <c r="L296" s="181"/>
      <c r="M296" s="181"/>
      <c r="N296" s="181"/>
      <c r="O296" s="181"/>
      <c r="P296" s="181"/>
      <c r="Q296" s="181"/>
      <c r="R296" s="181"/>
      <c r="S296" s="181"/>
      <c r="T296" s="181"/>
      <c r="U296" s="181"/>
      <c r="V296" s="181"/>
      <c r="W296" s="181"/>
      <c r="X296" s="181"/>
      <c r="Y296" s="181"/>
      <c r="Z296" s="181"/>
      <c r="AA296" s="181"/>
    </row>
    <row r="297" spans="2:27" ht="15">
      <c r="B297" s="178"/>
      <c r="C297" s="181"/>
      <c r="D297" s="181"/>
      <c r="E297" s="181"/>
      <c r="F297" s="181"/>
      <c r="G297" s="181"/>
      <c r="H297" s="181"/>
      <c r="I297" s="181"/>
      <c r="J297" s="181"/>
      <c r="K297" s="181"/>
      <c r="L297" s="181"/>
      <c r="M297" s="181"/>
      <c r="N297" s="181"/>
      <c r="O297" s="181"/>
      <c r="P297" s="181"/>
      <c r="Q297" s="181"/>
      <c r="R297" s="181"/>
      <c r="S297" s="181"/>
      <c r="T297" s="181"/>
      <c r="U297" s="181"/>
      <c r="V297" s="181"/>
      <c r="W297" s="181"/>
      <c r="X297" s="181"/>
      <c r="Y297" s="181"/>
      <c r="Z297" s="181"/>
      <c r="AA297" s="181"/>
    </row>
    <row r="298" spans="2:27" ht="15">
      <c r="B298" s="178"/>
      <c r="C298" s="181"/>
      <c r="D298" s="181"/>
      <c r="E298" s="181"/>
      <c r="F298" s="181"/>
      <c r="G298" s="181"/>
      <c r="H298" s="181"/>
      <c r="I298" s="181"/>
      <c r="J298" s="181"/>
      <c r="K298" s="181"/>
      <c r="L298" s="181"/>
      <c r="M298" s="181"/>
      <c r="N298" s="181"/>
      <c r="O298" s="181"/>
      <c r="P298" s="181"/>
      <c r="Q298" s="181"/>
      <c r="R298" s="181"/>
      <c r="S298" s="181"/>
      <c r="T298" s="181"/>
      <c r="U298" s="181"/>
      <c r="V298" s="181"/>
      <c r="W298" s="181"/>
      <c r="X298" s="181"/>
      <c r="Y298" s="181"/>
      <c r="Z298" s="181"/>
      <c r="AA298" s="181"/>
    </row>
    <row r="299" spans="2:27" ht="15">
      <c r="B299" s="178"/>
      <c r="C299" s="181"/>
      <c r="D299" s="181"/>
      <c r="E299" s="181"/>
      <c r="F299" s="181"/>
      <c r="G299" s="181"/>
      <c r="H299" s="181"/>
      <c r="I299" s="181"/>
      <c r="J299" s="181"/>
      <c r="K299" s="181"/>
      <c r="L299" s="181"/>
      <c r="M299" s="181"/>
      <c r="N299" s="181"/>
      <c r="O299" s="181"/>
      <c r="P299" s="181"/>
      <c r="Q299" s="181"/>
      <c r="R299" s="181"/>
      <c r="S299" s="181"/>
      <c r="T299" s="181"/>
      <c r="U299" s="181"/>
      <c r="V299" s="181"/>
      <c r="W299" s="181"/>
      <c r="X299" s="181"/>
      <c r="Y299" s="181"/>
      <c r="Z299" s="181"/>
      <c r="AA299" s="181"/>
    </row>
    <row r="300" spans="2:27" ht="15">
      <c r="B300" s="178"/>
      <c r="C300" s="181"/>
      <c r="D300" s="181"/>
      <c r="E300" s="181"/>
      <c r="F300" s="181"/>
      <c r="G300" s="181"/>
      <c r="H300" s="181"/>
      <c r="I300" s="181"/>
      <c r="J300" s="181"/>
      <c r="K300" s="181"/>
      <c r="L300" s="181"/>
      <c r="M300" s="181"/>
      <c r="N300" s="181"/>
      <c r="O300" s="181"/>
      <c r="P300" s="181"/>
      <c r="Q300" s="181"/>
      <c r="R300" s="181"/>
      <c r="S300" s="181"/>
      <c r="T300" s="181"/>
      <c r="U300" s="181"/>
      <c r="V300" s="181"/>
      <c r="W300" s="181"/>
      <c r="X300" s="181"/>
      <c r="Y300" s="181"/>
      <c r="Z300" s="181"/>
      <c r="AA300" s="181"/>
    </row>
    <row r="301" spans="2:27" ht="15">
      <c r="B301" s="178"/>
      <c r="C301" s="181"/>
      <c r="D301" s="181"/>
      <c r="E301" s="181"/>
      <c r="F301" s="181"/>
      <c r="G301" s="181"/>
      <c r="H301" s="181"/>
      <c r="I301" s="181"/>
      <c r="J301" s="181"/>
      <c r="K301" s="181"/>
      <c r="L301" s="181"/>
      <c r="M301" s="181"/>
      <c r="N301" s="181"/>
      <c r="O301" s="181"/>
      <c r="P301" s="181"/>
      <c r="Q301" s="181"/>
      <c r="R301" s="181"/>
      <c r="S301" s="181"/>
      <c r="T301" s="181"/>
      <c r="U301" s="181"/>
      <c r="V301" s="181"/>
      <c r="W301" s="181"/>
      <c r="X301" s="181"/>
      <c r="Y301" s="181"/>
      <c r="Z301" s="181"/>
      <c r="AA301" s="181"/>
    </row>
    <row r="302" spans="2:27" ht="15">
      <c r="B302" s="178"/>
      <c r="C302" s="181"/>
      <c r="D302" s="181"/>
      <c r="E302" s="181"/>
      <c r="F302" s="181"/>
      <c r="G302" s="181"/>
      <c r="H302" s="181"/>
      <c r="I302" s="181"/>
      <c r="J302" s="181"/>
      <c r="K302" s="181"/>
      <c r="L302" s="181"/>
      <c r="M302" s="181"/>
      <c r="N302" s="181"/>
      <c r="O302" s="181"/>
      <c r="P302" s="181"/>
      <c r="Q302" s="181"/>
      <c r="R302" s="181"/>
      <c r="S302" s="181"/>
      <c r="T302" s="181"/>
      <c r="U302" s="181"/>
      <c r="V302" s="181"/>
      <c r="W302" s="181"/>
      <c r="X302" s="181"/>
      <c r="Y302" s="181"/>
      <c r="Z302" s="181"/>
      <c r="AA302" s="181"/>
    </row>
    <row r="303" spans="2:27" ht="15">
      <c r="B303" s="178"/>
      <c r="C303" s="181"/>
      <c r="D303" s="181"/>
      <c r="E303" s="181"/>
      <c r="F303" s="181"/>
      <c r="G303" s="181"/>
      <c r="H303" s="181"/>
      <c r="I303" s="181"/>
      <c r="J303" s="181"/>
      <c r="K303" s="181"/>
      <c r="L303" s="181"/>
      <c r="M303" s="181"/>
      <c r="N303" s="181"/>
      <c r="O303" s="181"/>
      <c r="P303" s="181"/>
      <c r="Q303" s="181"/>
      <c r="R303" s="181"/>
      <c r="S303" s="181"/>
      <c r="T303" s="181"/>
      <c r="U303" s="181"/>
      <c r="V303" s="181"/>
      <c r="W303" s="181"/>
      <c r="X303" s="181"/>
      <c r="Y303" s="181"/>
      <c r="Z303" s="181"/>
      <c r="AA303" s="181"/>
    </row>
    <row r="304" spans="2:27" ht="15">
      <c r="B304" s="178"/>
      <c r="C304" s="181"/>
      <c r="D304" s="181"/>
      <c r="E304" s="181"/>
      <c r="F304" s="181"/>
      <c r="G304" s="181"/>
      <c r="H304" s="181"/>
      <c r="I304" s="181"/>
      <c r="J304" s="181"/>
      <c r="K304" s="181"/>
      <c r="L304" s="181"/>
      <c r="M304" s="181"/>
      <c r="N304" s="181"/>
      <c r="O304" s="181"/>
      <c r="P304" s="181"/>
      <c r="Q304" s="181"/>
      <c r="R304" s="181"/>
      <c r="S304" s="181"/>
      <c r="T304" s="181"/>
      <c r="U304" s="181"/>
      <c r="V304" s="181"/>
      <c r="W304" s="181"/>
      <c r="X304" s="181"/>
      <c r="Y304" s="181"/>
      <c r="Z304" s="181"/>
      <c r="AA304" s="181"/>
    </row>
    <row r="305" spans="2:27" ht="15">
      <c r="B305" s="178"/>
      <c r="C305" s="181"/>
      <c r="D305" s="181"/>
      <c r="E305" s="181"/>
      <c r="F305" s="181"/>
      <c r="G305" s="181"/>
      <c r="H305" s="181"/>
      <c r="I305" s="181"/>
      <c r="J305" s="181"/>
      <c r="K305" s="181"/>
      <c r="L305" s="181"/>
      <c r="M305" s="181"/>
      <c r="N305" s="181"/>
      <c r="O305" s="181"/>
      <c r="P305" s="181"/>
      <c r="Q305" s="181"/>
      <c r="R305" s="181"/>
      <c r="S305" s="181"/>
      <c r="T305" s="181"/>
      <c r="U305" s="181"/>
      <c r="V305" s="181"/>
      <c r="W305" s="181"/>
      <c r="X305" s="181"/>
      <c r="Y305" s="181"/>
      <c r="Z305" s="181"/>
      <c r="AA305" s="181"/>
    </row>
    <row r="306" spans="2:27" ht="15">
      <c r="B306" s="178"/>
      <c r="C306" s="181"/>
      <c r="D306" s="181"/>
      <c r="E306" s="181"/>
      <c r="F306" s="181"/>
      <c r="G306" s="181"/>
      <c r="H306" s="181"/>
      <c r="I306" s="181"/>
      <c r="J306" s="181"/>
      <c r="K306" s="181"/>
      <c r="L306" s="181"/>
      <c r="M306" s="181"/>
      <c r="N306" s="181"/>
      <c r="O306" s="181"/>
      <c r="P306" s="181"/>
      <c r="Q306" s="181"/>
      <c r="R306" s="181"/>
      <c r="S306" s="181"/>
      <c r="T306" s="181"/>
      <c r="U306" s="181"/>
      <c r="V306" s="181"/>
      <c r="W306" s="181"/>
      <c r="X306" s="181"/>
      <c r="Y306" s="181"/>
      <c r="Z306" s="181"/>
      <c r="AA306" s="181"/>
    </row>
    <row r="307" spans="2:27" ht="15">
      <c r="B307" s="178"/>
      <c r="C307" s="181"/>
      <c r="D307" s="181"/>
      <c r="E307" s="181"/>
      <c r="F307" s="181"/>
      <c r="G307" s="181"/>
      <c r="H307" s="181"/>
      <c r="I307" s="181"/>
      <c r="J307" s="181"/>
      <c r="K307" s="181"/>
      <c r="L307" s="181"/>
      <c r="M307" s="181"/>
      <c r="N307" s="181"/>
      <c r="O307" s="181"/>
      <c r="P307" s="181"/>
      <c r="Q307" s="181"/>
      <c r="R307" s="181"/>
      <c r="S307" s="181"/>
      <c r="T307" s="181"/>
      <c r="U307" s="181"/>
      <c r="V307" s="181"/>
      <c r="W307" s="181"/>
      <c r="X307" s="181"/>
      <c r="Y307" s="181"/>
      <c r="Z307" s="181"/>
      <c r="AA307" s="181"/>
    </row>
    <row r="308" spans="2:27" ht="15">
      <c r="B308" s="178"/>
      <c r="C308" s="181"/>
      <c r="D308" s="181"/>
      <c r="E308" s="181"/>
      <c r="F308" s="181"/>
      <c r="G308" s="181"/>
      <c r="H308" s="181"/>
      <c r="I308" s="181"/>
      <c r="J308" s="181"/>
      <c r="K308" s="181"/>
      <c r="L308" s="181"/>
      <c r="M308" s="181"/>
      <c r="N308" s="181"/>
      <c r="O308" s="181"/>
      <c r="P308" s="181"/>
      <c r="Q308" s="181"/>
      <c r="R308" s="181"/>
      <c r="S308" s="181"/>
      <c r="T308" s="181"/>
      <c r="U308" s="181"/>
      <c r="V308" s="181"/>
      <c r="W308" s="181"/>
      <c r="X308" s="181"/>
      <c r="Y308" s="181"/>
      <c r="Z308" s="181"/>
      <c r="AA308" s="181"/>
    </row>
    <row r="309" spans="2:27" ht="15">
      <c r="B309" s="178"/>
      <c r="C309" s="181"/>
      <c r="D309" s="181"/>
      <c r="E309" s="181"/>
      <c r="F309" s="181"/>
      <c r="G309" s="181"/>
      <c r="H309" s="181"/>
      <c r="I309" s="181"/>
      <c r="J309" s="181"/>
      <c r="K309" s="181"/>
      <c r="L309" s="181"/>
      <c r="M309" s="181"/>
      <c r="N309" s="181"/>
      <c r="O309" s="181"/>
      <c r="P309" s="181"/>
      <c r="Q309" s="181"/>
      <c r="R309" s="181"/>
      <c r="S309" s="181"/>
      <c r="T309" s="181"/>
      <c r="U309" s="181"/>
      <c r="V309" s="181"/>
      <c r="W309" s="181"/>
      <c r="X309" s="181"/>
      <c r="Y309" s="181"/>
      <c r="Z309" s="181"/>
      <c r="AA309" s="181"/>
    </row>
    <row r="310" spans="2:27" ht="15">
      <c r="B310" s="178"/>
      <c r="C310" s="181"/>
      <c r="D310" s="181"/>
      <c r="E310" s="181"/>
      <c r="F310" s="181"/>
      <c r="G310" s="181"/>
      <c r="H310" s="181"/>
      <c r="I310" s="181"/>
      <c r="J310" s="181"/>
      <c r="K310" s="181"/>
      <c r="L310" s="181"/>
      <c r="M310" s="181"/>
      <c r="N310" s="181"/>
      <c r="O310" s="181"/>
      <c r="P310" s="181"/>
      <c r="Q310" s="181"/>
      <c r="R310" s="181"/>
      <c r="S310" s="181"/>
      <c r="T310" s="181"/>
      <c r="U310" s="181"/>
      <c r="V310" s="181"/>
      <c r="W310" s="181"/>
      <c r="X310" s="181"/>
      <c r="Y310" s="181"/>
      <c r="Z310" s="181"/>
      <c r="AA310" s="181"/>
    </row>
    <row r="311" spans="2:27" ht="15">
      <c r="B311" s="178"/>
      <c r="C311" s="181"/>
      <c r="D311" s="181"/>
      <c r="E311" s="181"/>
      <c r="F311" s="181"/>
      <c r="G311" s="181"/>
      <c r="H311" s="181"/>
      <c r="I311" s="181"/>
      <c r="J311" s="181"/>
      <c r="K311" s="181"/>
      <c r="L311" s="181"/>
      <c r="M311" s="181"/>
      <c r="N311" s="181"/>
      <c r="O311" s="181"/>
      <c r="P311" s="181"/>
      <c r="Q311" s="181"/>
      <c r="R311" s="181"/>
      <c r="S311" s="181"/>
      <c r="T311" s="181"/>
      <c r="U311" s="181"/>
      <c r="V311" s="181"/>
      <c r="W311" s="181"/>
      <c r="X311" s="181"/>
      <c r="Y311" s="181"/>
      <c r="Z311" s="181"/>
      <c r="AA311" s="181"/>
    </row>
    <row r="312" spans="2:27" ht="15">
      <c r="B312" s="178"/>
      <c r="C312" s="181"/>
      <c r="D312" s="181"/>
      <c r="E312" s="181"/>
      <c r="F312" s="181"/>
      <c r="G312" s="181"/>
      <c r="H312" s="181"/>
      <c r="I312" s="181"/>
      <c r="J312" s="181"/>
      <c r="K312" s="181"/>
      <c r="L312" s="181"/>
      <c r="M312" s="181"/>
      <c r="N312" s="181"/>
      <c r="O312" s="181"/>
      <c r="P312" s="181"/>
      <c r="Q312" s="181"/>
      <c r="R312" s="181"/>
      <c r="S312" s="181"/>
      <c r="T312" s="181"/>
      <c r="U312" s="181"/>
      <c r="V312" s="181"/>
      <c r="W312" s="181"/>
      <c r="X312" s="181"/>
      <c r="Y312" s="181"/>
      <c r="Z312" s="181"/>
      <c r="AA312" s="181"/>
    </row>
    <row r="313" spans="2:27" ht="15">
      <c r="B313" s="178"/>
      <c r="C313" s="181"/>
      <c r="D313" s="181"/>
      <c r="E313" s="181"/>
      <c r="F313" s="181"/>
      <c r="G313" s="181"/>
      <c r="H313" s="181"/>
      <c r="I313" s="181"/>
      <c r="J313" s="181"/>
      <c r="K313" s="181"/>
      <c r="L313" s="181"/>
      <c r="M313" s="181"/>
      <c r="N313" s="181"/>
      <c r="O313" s="181"/>
      <c r="P313" s="181"/>
      <c r="Q313" s="181"/>
      <c r="R313" s="181"/>
      <c r="S313" s="181"/>
      <c r="T313" s="181"/>
      <c r="U313" s="181"/>
      <c r="V313" s="181"/>
      <c r="W313" s="181"/>
      <c r="X313" s="181"/>
      <c r="Y313" s="181"/>
      <c r="Z313" s="181"/>
      <c r="AA313" s="181"/>
    </row>
    <row r="314" spans="2:27" ht="15">
      <c r="B314" s="178"/>
      <c r="C314" s="181"/>
      <c r="D314" s="181"/>
      <c r="E314" s="181"/>
      <c r="F314" s="181"/>
      <c r="G314" s="181"/>
      <c r="H314" s="181"/>
      <c r="I314" s="181"/>
      <c r="J314" s="181"/>
      <c r="K314" s="181"/>
      <c r="L314" s="181"/>
      <c r="M314" s="181"/>
      <c r="N314" s="181"/>
      <c r="O314" s="181"/>
      <c r="P314" s="181"/>
      <c r="Q314" s="181"/>
      <c r="R314" s="181"/>
      <c r="S314" s="181"/>
      <c r="T314" s="181"/>
      <c r="U314" s="181"/>
      <c r="V314" s="181"/>
      <c r="W314" s="181"/>
      <c r="X314" s="181"/>
      <c r="Y314" s="181"/>
      <c r="Z314" s="181"/>
      <c r="AA314" s="181"/>
    </row>
    <row r="315" spans="2:27" ht="15">
      <c r="B315" s="178"/>
      <c r="C315" s="181"/>
      <c r="D315" s="181"/>
      <c r="E315" s="181"/>
      <c r="F315" s="181"/>
      <c r="G315" s="181"/>
      <c r="H315" s="181"/>
      <c r="I315" s="181"/>
      <c r="J315" s="181"/>
      <c r="K315" s="181"/>
      <c r="L315" s="181"/>
      <c r="M315" s="181"/>
      <c r="N315" s="181"/>
      <c r="O315" s="181"/>
      <c r="P315" s="181"/>
      <c r="Q315" s="181"/>
      <c r="R315" s="181"/>
      <c r="S315" s="181"/>
      <c r="T315" s="181"/>
      <c r="U315" s="181"/>
      <c r="V315" s="181"/>
      <c r="W315" s="181"/>
      <c r="X315" s="181"/>
      <c r="Y315" s="181"/>
      <c r="Z315" s="181"/>
      <c r="AA315" s="181"/>
    </row>
    <row r="316" spans="2:27" ht="15">
      <c r="B316" s="178"/>
      <c r="C316" s="181"/>
      <c r="D316" s="181"/>
      <c r="E316" s="181"/>
      <c r="F316" s="181"/>
      <c r="G316" s="181"/>
      <c r="H316" s="181"/>
      <c r="I316" s="181"/>
      <c r="J316" s="181"/>
      <c r="K316" s="181"/>
      <c r="L316" s="181"/>
      <c r="M316" s="181"/>
      <c r="N316" s="181"/>
      <c r="O316" s="181"/>
      <c r="P316" s="181"/>
      <c r="Q316" s="181"/>
      <c r="R316" s="181"/>
      <c r="S316" s="181"/>
      <c r="T316" s="181"/>
      <c r="U316" s="181"/>
      <c r="V316" s="181"/>
      <c r="W316" s="181"/>
      <c r="X316" s="181"/>
      <c r="Y316" s="181"/>
      <c r="Z316" s="181"/>
      <c r="AA316" s="181"/>
    </row>
    <row r="317" spans="2:27" ht="15">
      <c r="B317" s="178"/>
      <c r="C317" s="181"/>
      <c r="D317" s="181"/>
      <c r="E317" s="181"/>
      <c r="F317" s="181"/>
      <c r="G317" s="181"/>
      <c r="H317" s="181"/>
      <c r="I317" s="181"/>
      <c r="J317" s="181"/>
      <c r="K317" s="181"/>
      <c r="L317" s="181"/>
      <c r="M317" s="181"/>
      <c r="N317" s="181"/>
      <c r="O317" s="181"/>
      <c r="P317" s="181"/>
      <c r="Q317" s="181"/>
      <c r="R317" s="181"/>
      <c r="S317" s="181"/>
      <c r="T317" s="181"/>
      <c r="U317" s="181"/>
      <c r="V317" s="181"/>
      <c r="W317" s="181"/>
      <c r="X317" s="181"/>
      <c r="Y317" s="181"/>
      <c r="Z317" s="181"/>
      <c r="AA317" s="181"/>
    </row>
    <row r="318" spans="2:27" ht="15">
      <c r="B318" s="178"/>
      <c r="C318" s="181"/>
      <c r="D318" s="181"/>
      <c r="E318" s="181"/>
      <c r="F318" s="181"/>
      <c r="G318" s="181"/>
      <c r="H318" s="181"/>
      <c r="I318" s="181"/>
      <c r="J318" s="181"/>
      <c r="K318" s="181"/>
      <c r="L318" s="181"/>
      <c r="M318" s="181"/>
      <c r="N318" s="181"/>
      <c r="O318" s="181"/>
      <c r="P318" s="181"/>
      <c r="Q318" s="181"/>
      <c r="R318" s="181"/>
      <c r="S318" s="181"/>
      <c r="T318" s="181"/>
      <c r="U318" s="181"/>
      <c r="V318" s="181"/>
      <c r="W318" s="181"/>
      <c r="X318" s="181"/>
      <c r="Y318" s="181"/>
      <c r="Z318" s="181"/>
      <c r="AA318" s="181"/>
    </row>
    <row r="319" spans="2:27" ht="15">
      <c r="B319" s="178"/>
      <c r="C319" s="181"/>
      <c r="D319" s="181"/>
      <c r="E319" s="181"/>
      <c r="F319" s="181"/>
      <c r="G319" s="181"/>
      <c r="H319" s="181"/>
      <c r="I319" s="181"/>
      <c r="J319" s="181"/>
      <c r="K319" s="181"/>
      <c r="L319" s="181"/>
      <c r="M319" s="181"/>
      <c r="N319" s="181"/>
      <c r="O319" s="181"/>
      <c r="P319" s="181"/>
      <c r="Q319" s="181"/>
      <c r="R319" s="181"/>
      <c r="S319" s="181"/>
      <c r="T319" s="181"/>
      <c r="U319" s="181"/>
      <c r="V319" s="181"/>
      <c r="W319" s="181"/>
      <c r="X319" s="181"/>
      <c r="Y319" s="181"/>
      <c r="Z319" s="181"/>
      <c r="AA319" s="181"/>
    </row>
    <row r="320" spans="2:27" ht="15">
      <c r="B320" s="178"/>
      <c r="C320" s="181"/>
      <c r="D320" s="181"/>
      <c r="E320" s="181"/>
      <c r="F320" s="181"/>
      <c r="G320" s="181"/>
      <c r="H320" s="181"/>
      <c r="I320" s="181"/>
      <c r="J320" s="181"/>
      <c r="K320" s="181"/>
      <c r="L320" s="181"/>
      <c r="M320" s="181"/>
      <c r="N320" s="181"/>
      <c r="O320" s="181"/>
      <c r="P320" s="181"/>
      <c r="Q320" s="181"/>
      <c r="R320" s="181"/>
      <c r="S320" s="181"/>
      <c r="T320" s="181"/>
      <c r="U320" s="181"/>
      <c r="V320" s="181"/>
      <c r="W320" s="181"/>
      <c r="X320" s="181"/>
      <c r="Y320" s="181"/>
      <c r="Z320" s="181"/>
      <c r="AA320" s="181"/>
    </row>
    <row r="321" spans="2:27" ht="15">
      <c r="B321" s="178"/>
      <c r="C321" s="181"/>
      <c r="D321" s="181"/>
      <c r="E321" s="181"/>
      <c r="F321" s="181"/>
      <c r="G321" s="181"/>
      <c r="H321" s="181"/>
      <c r="I321" s="181"/>
      <c r="J321" s="181"/>
      <c r="K321" s="181"/>
      <c r="L321" s="181"/>
      <c r="M321" s="181"/>
      <c r="N321" s="181"/>
      <c r="O321" s="181"/>
      <c r="P321" s="181"/>
      <c r="Q321" s="181"/>
      <c r="R321" s="181"/>
      <c r="S321" s="181"/>
      <c r="T321" s="181"/>
      <c r="U321" s="181"/>
      <c r="V321" s="181"/>
      <c r="W321" s="181"/>
      <c r="X321" s="181"/>
      <c r="Y321" s="181"/>
      <c r="Z321" s="181"/>
      <c r="AA321" s="181"/>
    </row>
    <row r="322" spans="2:27" ht="15">
      <c r="B322" s="178"/>
      <c r="C322" s="181"/>
      <c r="D322" s="181"/>
      <c r="E322" s="181"/>
      <c r="F322" s="181"/>
      <c r="G322" s="181"/>
      <c r="H322" s="181"/>
      <c r="I322" s="181"/>
      <c r="J322" s="181"/>
      <c r="K322" s="181"/>
      <c r="L322" s="181"/>
      <c r="M322" s="181"/>
      <c r="N322" s="181"/>
      <c r="O322" s="181"/>
      <c r="P322" s="181"/>
      <c r="Q322" s="181"/>
      <c r="R322" s="181"/>
      <c r="S322" s="181"/>
      <c r="T322" s="181"/>
      <c r="U322" s="181"/>
      <c r="V322" s="181"/>
      <c r="W322" s="181"/>
      <c r="X322" s="181"/>
      <c r="Y322" s="181"/>
      <c r="Z322" s="181"/>
      <c r="AA322" s="181"/>
    </row>
    <row r="323" spans="2:27" ht="15">
      <c r="B323" s="178"/>
      <c r="C323" s="181"/>
      <c r="D323" s="181"/>
      <c r="E323" s="181"/>
      <c r="F323" s="181"/>
      <c r="G323" s="181"/>
      <c r="H323" s="181"/>
      <c r="I323" s="181"/>
      <c r="J323" s="181"/>
      <c r="K323" s="181"/>
      <c r="L323" s="181"/>
      <c r="M323" s="181"/>
      <c r="N323" s="181"/>
      <c r="O323" s="181"/>
      <c r="P323" s="181"/>
      <c r="Q323" s="181"/>
      <c r="R323" s="181"/>
      <c r="S323" s="181"/>
      <c r="T323" s="181"/>
      <c r="U323" s="181"/>
      <c r="V323" s="181"/>
      <c r="W323" s="181"/>
      <c r="X323" s="181"/>
      <c r="Y323" s="181"/>
      <c r="Z323" s="181"/>
      <c r="AA323" s="181"/>
    </row>
    <row r="324" spans="2:27" ht="15">
      <c r="B324" s="178"/>
      <c r="C324" s="181"/>
      <c r="D324" s="181"/>
      <c r="E324" s="181"/>
      <c r="F324" s="181"/>
      <c r="G324" s="181"/>
      <c r="H324" s="181"/>
      <c r="I324" s="181"/>
      <c r="J324" s="181"/>
      <c r="K324" s="181"/>
      <c r="L324" s="181"/>
      <c r="M324" s="181"/>
      <c r="N324" s="181"/>
      <c r="O324" s="181"/>
      <c r="P324" s="181"/>
      <c r="Q324" s="181"/>
      <c r="R324" s="181"/>
      <c r="S324" s="181"/>
      <c r="T324" s="181"/>
      <c r="U324" s="181"/>
      <c r="V324" s="181"/>
      <c r="W324" s="181"/>
      <c r="X324" s="181"/>
      <c r="Y324" s="181"/>
      <c r="Z324" s="181"/>
      <c r="AA324" s="181"/>
    </row>
    <row r="325" spans="2:27" ht="15">
      <c r="B325" s="178"/>
      <c r="C325" s="181"/>
      <c r="D325" s="181"/>
      <c r="E325" s="181"/>
      <c r="F325" s="181"/>
      <c r="G325" s="181"/>
      <c r="H325" s="181"/>
      <c r="I325" s="181"/>
      <c r="J325" s="181"/>
      <c r="K325" s="181"/>
      <c r="L325" s="181"/>
      <c r="M325" s="181"/>
      <c r="N325" s="181"/>
      <c r="O325" s="181"/>
      <c r="P325" s="181"/>
      <c r="Q325" s="181"/>
      <c r="R325" s="181"/>
      <c r="S325" s="181"/>
      <c r="T325" s="181"/>
      <c r="U325" s="181"/>
      <c r="V325" s="181"/>
      <c r="W325" s="181"/>
      <c r="X325" s="181"/>
      <c r="Y325" s="181"/>
      <c r="Z325" s="181"/>
      <c r="AA325" s="181"/>
    </row>
    <row r="326" spans="2:27" ht="15">
      <c r="B326" s="178"/>
      <c r="C326" s="181"/>
      <c r="D326" s="181"/>
      <c r="E326" s="181"/>
      <c r="F326" s="181"/>
      <c r="G326" s="181"/>
      <c r="H326" s="181"/>
      <c r="I326" s="181"/>
      <c r="J326" s="181"/>
      <c r="K326" s="181"/>
      <c r="L326" s="181"/>
      <c r="M326" s="181"/>
      <c r="N326" s="181"/>
      <c r="O326" s="181"/>
      <c r="P326" s="181"/>
      <c r="Q326" s="181"/>
      <c r="R326" s="181"/>
      <c r="S326" s="181"/>
      <c r="T326" s="181"/>
      <c r="U326" s="181"/>
      <c r="V326" s="181"/>
      <c r="W326" s="181"/>
      <c r="X326" s="181"/>
      <c r="Y326" s="181"/>
      <c r="Z326" s="181"/>
      <c r="AA326" s="181"/>
    </row>
    <row r="327" spans="2:27" ht="15">
      <c r="B327" s="178"/>
      <c r="C327" s="181"/>
      <c r="D327" s="181"/>
      <c r="E327" s="181"/>
      <c r="F327" s="181"/>
      <c r="G327" s="181"/>
      <c r="H327" s="181"/>
      <c r="I327" s="181"/>
      <c r="J327" s="181"/>
      <c r="K327" s="181"/>
      <c r="L327" s="181"/>
      <c r="M327" s="181"/>
      <c r="N327" s="181"/>
      <c r="O327" s="181"/>
      <c r="P327" s="181"/>
      <c r="Q327" s="181"/>
      <c r="R327" s="181"/>
      <c r="S327" s="181"/>
      <c r="T327" s="181"/>
      <c r="U327" s="181"/>
      <c r="V327" s="181"/>
      <c r="W327" s="181"/>
      <c r="X327" s="181"/>
      <c r="Y327" s="181"/>
      <c r="Z327" s="181"/>
      <c r="AA327" s="181"/>
    </row>
    <row r="328" spans="2:27" ht="15">
      <c r="B328" s="178"/>
      <c r="C328" s="181"/>
      <c r="D328" s="181"/>
      <c r="E328" s="181"/>
      <c r="F328" s="181"/>
      <c r="G328" s="181"/>
      <c r="H328" s="181"/>
      <c r="I328" s="181"/>
      <c r="J328" s="181"/>
      <c r="K328" s="181"/>
      <c r="L328" s="181"/>
      <c r="M328" s="181"/>
      <c r="N328" s="181"/>
      <c r="O328" s="181"/>
      <c r="P328" s="181"/>
      <c r="Q328" s="181"/>
      <c r="R328" s="181"/>
      <c r="S328" s="181"/>
      <c r="T328" s="181"/>
      <c r="U328" s="181"/>
      <c r="V328" s="181"/>
      <c r="W328" s="181"/>
      <c r="X328" s="181"/>
      <c r="Y328" s="181"/>
      <c r="Z328" s="181"/>
      <c r="AA328" s="181"/>
    </row>
    <row r="329" spans="2:27" ht="15">
      <c r="B329" s="178"/>
      <c r="C329" s="181"/>
      <c r="D329" s="181"/>
      <c r="E329" s="181"/>
      <c r="F329" s="181"/>
      <c r="G329" s="181"/>
      <c r="H329" s="181"/>
      <c r="I329" s="181"/>
      <c r="J329" s="181"/>
      <c r="K329" s="181"/>
      <c r="L329" s="181"/>
      <c r="M329" s="181"/>
      <c r="N329" s="181"/>
      <c r="O329" s="181"/>
      <c r="P329" s="181"/>
      <c r="Q329" s="181"/>
      <c r="R329" s="181"/>
      <c r="S329" s="181"/>
      <c r="T329" s="181"/>
      <c r="U329" s="181"/>
      <c r="V329" s="181"/>
      <c r="W329" s="181"/>
      <c r="X329" s="181"/>
      <c r="Y329" s="181"/>
      <c r="Z329" s="181"/>
      <c r="AA329" s="181"/>
    </row>
    <row r="330" spans="2:27" ht="15">
      <c r="B330" s="178"/>
      <c r="C330" s="181"/>
      <c r="D330" s="181"/>
      <c r="E330" s="181"/>
      <c r="F330" s="181"/>
      <c r="G330" s="181"/>
      <c r="H330" s="181"/>
      <c r="I330" s="181"/>
      <c r="J330" s="181"/>
      <c r="K330" s="181"/>
      <c r="L330" s="181"/>
      <c r="M330" s="181"/>
      <c r="N330" s="181"/>
      <c r="O330" s="181"/>
      <c r="P330" s="181"/>
      <c r="Q330" s="181"/>
      <c r="R330" s="181"/>
      <c r="S330" s="181"/>
      <c r="T330" s="181"/>
      <c r="U330" s="181"/>
      <c r="V330" s="181"/>
      <c r="W330" s="181"/>
      <c r="X330" s="181"/>
      <c r="Y330" s="181"/>
      <c r="Z330" s="181"/>
      <c r="AA330" s="181"/>
    </row>
    <row r="331" spans="2:27" ht="15">
      <c r="B331" s="178"/>
      <c r="C331" s="181"/>
      <c r="D331" s="181"/>
      <c r="E331" s="181"/>
      <c r="F331" s="181"/>
      <c r="G331" s="181"/>
      <c r="H331" s="181"/>
      <c r="I331" s="181"/>
      <c r="J331" s="181"/>
      <c r="K331" s="181"/>
      <c r="L331" s="181"/>
      <c r="M331" s="181"/>
      <c r="N331" s="181"/>
      <c r="O331" s="181"/>
      <c r="P331" s="181"/>
      <c r="Q331" s="181"/>
      <c r="R331" s="181"/>
      <c r="S331" s="181"/>
      <c r="T331" s="181"/>
      <c r="U331" s="181"/>
      <c r="V331" s="181"/>
      <c r="W331" s="181"/>
      <c r="X331" s="181"/>
      <c r="Y331" s="181"/>
      <c r="Z331" s="181"/>
      <c r="AA331" s="181"/>
    </row>
    <row r="332" spans="2:27" ht="15">
      <c r="B332" s="178"/>
      <c r="C332" s="181"/>
      <c r="D332" s="181"/>
      <c r="E332" s="181"/>
      <c r="F332" s="181"/>
      <c r="G332" s="181"/>
      <c r="H332" s="181"/>
      <c r="I332" s="181"/>
      <c r="J332" s="181"/>
      <c r="K332" s="181"/>
      <c r="L332" s="181"/>
      <c r="M332" s="181"/>
      <c r="N332" s="181"/>
      <c r="O332" s="181"/>
      <c r="P332" s="181"/>
      <c r="Q332" s="181"/>
      <c r="R332" s="181"/>
      <c r="S332" s="181"/>
      <c r="T332" s="181"/>
      <c r="U332" s="181"/>
      <c r="V332" s="181"/>
      <c r="W332" s="181"/>
      <c r="X332" s="181"/>
      <c r="Y332" s="181"/>
      <c r="Z332" s="181"/>
      <c r="AA332" s="181"/>
    </row>
    <row r="333" spans="2:27" ht="15">
      <c r="B333" s="178"/>
      <c r="C333" s="181"/>
      <c r="D333" s="181"/>
      <c r="E333" s="181"/>
      <c r="F333" s="181"/>
      <c r="G333" s="181"/>
      <c r="H333" s="181"/>
      <c r="I333" s="181"/>
      <c r="J333" s="181"/>
      <c r="K333" s="181"/>
      <c r="L333" s="181"/>
      <c r="M333" s="181"/>
      <c r="N333" s="181"/>
      <c r="O333" s="181"/>
      <c r="P333" s="181"/>
      <c r="Q333" s="181"/>
      <c r="R333" s="181"/>
      <c r="S333" s="181"/>
      <c r="T333" s="181"/>
      <c r="U333" s="181"/>
      <c r="V333" s="181"/>
      <c r="W333" s="181"/>
      <c r="X333" s="181"/>
      <c r="Y333" s="181"/>
      <c r="Z333" s="181"/>
      <c r="AA333" s="181"/>
    </row>
    <row r="334" spans="2:27" ht="15">
      <c r="B334" s="178"/>
      <c r="C334" s="181"/>
      <c r="D334" s="181"/>
      <c r="E334" s="181"/>
      <c r="F334" s="181"/>
      <c r="G334" s="181"/>
      <c r="H334" s="181"/>
      <c r="I334" s="181"/>
      <c r="J334" s="181"/>
      <c r="K334" s="181"/>
      <c r="L334" s="181"/>
      <c r="M334" s="181"/>
      <c r="N334" s="181"/>
      <c r="O334" s="181"/>
      <c r="P334" s="181"/>
      <c r="Q334" s="181"/>
      <c r="R334" s="181"/>
      <c r="S334" s="181"/>
      <c r="T334" s="181"/>
      <c r="U334" s="181"/>
      <c r="V334" s="181"/>
      <c r="W334" s="181"/>
      <c r="X334" s="181"/>
      <c r="Y334" s="181"/>
      <c r="Z334" s="181"/>
      <c r="AA334" s="181"/>
    </row>
    <row r="335" spans="2:27" ht="15">
      <c r="B335" s="178"/>
      <c r="C335" s="181"/>
      <c r="D335" s="181"/>
      <c r="E335" s="181"/>
      <c r="F335" s="181"/>
      <c r="G335" s="181"/>
      <c r="H335" s="181"/>
      <c r="I335" s="181"/>
      <c r="J335" s="181"/>
      <c r="K335" s="181"/>
      <c r="L335" s="181"/>
      <c r="M335" s="181"/>
      <c r="N335" s="181"/>
      <c r="O335" s="181"/>
      <c r="P335" s="181"/>
      <c r="Q335" s="181"/>
      <c r="R335" s="181"/>
      <c r="S335" s="181"/>
      <c r="T335" s="181"/>
      <c r="U335" s="181"/>
      <c r="V335" s="181"/>
      <c r="W335" s="181"/>
      <c r="X335" s="181"/>
      <c r="Y335" s="181"/>
      <c r="Z335" s="181"/>
      <c r="AA335" s="181"/>
    </row>
    <row r="336" spans="2:27" ht="15">
      <c r="B336" s="178"/>
      <c r="C336" s="181"/>
      <c r="D336" s="181"/>
      <c r="E336" s="181"/>
      <c r="F336" s="181"/>
      <c r="G336" s="181"/>
      <c r="H336" s="181"/>
      <c r="I336" s="181"/>
      <c r="J336" s="181"/>
      <c r="K336" s="181"/>
      <c r="L336" s="181"/>
      <c r="M336" s="181"/>
      <c r="N336" s="181"/>
      <c r="O336" s="181"/>
      <c r="P336" s="181"/>
      <c r="Q336" s="181"/>
      <c r="R336" s="181"/>
      <c r="S336" s="181"/>
      <c r="T336" s="181"/>
      <c r="U336" s="181"/>
      <c r="V336" s="181"/>
      <c r="W336" s="181"/>
      <c r="X336" s="181"/>
      <c r="Y336" s="181"/>
      <c r="Z336" s="181"/>
      <c r="AA336" s="181"/>
    </row>
    <row r="337" spans="2:27" ht="15">
      <c r="B337" s="178"/>
      <c r="C337" s="181"/>
      <c r="D337" s="181"/>
      <c r="E337" s="181"/>
      <c r="F337" s="181"/>
      <c r="G337" s="181"/>
      <c r="H337" s="181"/>
      <c r="I337" s="181"/>
      <c r="J337" s="181"/>
      <c r="K337" s="181"/>
      <c r="L337" s="181"/>
      <c r="M337" s="181"/>
      <c r="N337" s="181"/>
      <c r="O337" s="181"/>
      <c r="P337" s="181"/>
      <c r="Q337" s="181"/>
      <c r="R337" s="181"/>
      <c r="S337" s="181"/>
      <c r="T337" s="181"/>
      <c r="U337" s="181"/>
      <c r="V337" s="181"/>
      <c r="W337" s="181"/>
      <c r="X337" s="181"/>
      <c r="Y337" s="181"/>
      <c r="Z337" s="181"/>
      <c r="AA337" s="181"/>
    </row>
    <row r="338" spans="2:27" ht="15">
      <c r="B338" s="178"/>
      <c r="C338" s="181"/>
      <c r="D338" s="181"/>
      <c r="E338" s="181"/>
      <c r="F338" s="181"/>
      <c r="G338" s="181"/>
      <c r="H338" s="181"/>
      <c r="I338" s="181"/>
      <c r="J338" s="181"/>
      <c r="K338" s="181"/>
      <c r="L338" s="181"/>
      <c r="M338" s="181"/>
      <c r="N338" s="181"/>
      <c r="O338" s="181"/>
      <c r="P338" s="181"/>
      <c r="Q338" s="181"/>
      <c r="R338" s="181"/>
      <c r="S338" s="181"/>
      <c r="T338" s="181"/>
      <c r="U338" s="181"/>
      <c r="V338" s="181"/>
      <c r="W338" s="181"/>
      <c r="X338" s="181"/>
      <c r="Y338" s="181"/>
      <c r="Z338" s="181"/>
      <c r="AA338" s="181"/>
    </row>
    <row r="339" spans="2:27" ht="15">
      <c r="B339" s="178"/>
      <c r="C339" s="181"/>
      <c r="D339" s="181"/>
      <c r="E339" s="181"/>
      <c r="F339" s="181"/>
      <c r="G339" s="181"/>
      <c r="H339" s="181"/>
      <c r="I339" s="181"/>
      <c r="J339" s="181"/>
      <c r="K339" s="181"/>
      <c r="L339" s="181"/>
      <c r="M339" s="181"/>
      <c r="N339" s="181"/>
      <c r="O339" s="181"/>
      <c r="P339" s="181"/>
      <c r="Q339" s="181"/>
      <c r="R339" s="181"/>
      <c r="S339" s="181"/>
      <c r="T339" s="181"/>
      <c r="U339" s="181"/>
      <c r="V339" s="181"/>
      <c r="W339" s="181"/>
      <c r="X339" s="181"/>
      <c r="Y339" s="181"/>
      <c r="Z339" s="181"/>
      <c r="AA339" s="181"/>
    </row>
    <row r="340" spans="2:27" ht="15">
      <c r="B340" s="178"/>
      <c r="C340" s="181"/>
      <c r="D340" s="181"/>
      <c r="E340" s="181"/>
      <c r="F340" s="181"/>
      <c r="G340" s="181"/>
      <c r="H340" s="181"/>
      <c r="I340" s="181"/>
      <c r="J340" s="181"/>
      <c r="K340" s="181"/>
      <c r="L340" s="181"/>
      <c r="M340" s="181"/>
      <c r="N340" s="181"/>
      <c r="O340" s="181"/>
      <c r="P340" s="181"/>
      <c r="Q340" s="181"/>
      <c r="R340" s="181"/>
      <c r="S340" s="181"/>
      <c r="T340" s="181"/>
      <c r="U340" s="181"/>
      <c r="V340" s="181"/>
      <c r="W340" s="181"/>
      <c r="X340" s="181"/>
      <c r="Y340" s="181"/>
      <c r="Z340" s="181"/>
      <c r="AA340" s="181"/>
    </row>
    <row r="341" spans="2:27" ht="15">
      <c r="B341" s="178"/>
      <c r="C341" s="181"/>
      <c r="D341" s="181"/>
      <c r="E341" s="181"/>
      <c r="F341" s="181"/>
      <c r="G341" s="181"/>
      <c r="H341" s="181"/>
      <c r="I341" s="181"/>
      <c r="J341" s="181"/>
      <c r="K341" s="181"/>
      <c r="L341" s="181"/>
      <c r="M341" s="181"/>
      <c r="N341" s="181"/>
      <c r="O341" s="181"/>
      <c r="P341" s="181"/>
      <c r="Q341" s="181"/>
      <c r="R341" s="181"/>
      <c r="S341" s="181"/>
      <c r="T341" s="181"/>
      <c r="U341" s="181"/>
      <c r="V341" s="181"/>
      <c r="W341" s="181"/>
      <c r="X341" s="181"/>
      <c r="Y341" s="181"/>
      <c r="Z341" s="181"/>
      <c r="AA341" s="181"/>
    </row>
    <row r="342" spans="2:27" ht="15">
      <c r="B342" s="178"/>
      <c r="C342" s="181"/>
      <c r="D342" s="181"/>
      <c r="E342" s="181"/>
      <c r="F342" s="181"/>
      <c r="G342" s="181"/>
      <c r="H342" s="181"/>
      <c r="I342" s="181"/>
      <c r="J342" s="181"/>
      <c r="K342" s="181"/>
      <c r="L342" s="181"/>
      <c r="M342" s="181"/>
      <c r="N342" s="181"/>
      <c r="O342" s="181"/>
      <c r="P342" s="181"/>
      <c r="Q342" s="181"/>
      <c r="R342" s="181"/>
      <c r="S342" s="181"/>
      <c r="T342" s="181"/>
      <c r="U342" s="181"/>
      <c r="V342" s="181"/>
      <c r="W342" s="181"/>
      <c r="X342" s="181"/>
      <c r="Y342" s="181"/>
      <c r="Z342" s="181"/>
      <c r="AA342" s="181"/>
    </row>
    <row r="343" spans="2:27" ht="15">
      <c r="B343" s="178"/>
      <c r="C343" s="181"/>
      <c r="D343" s="181"/>
      <c r="E343" s="181"/>
      <c r="F343" s="181"/>
      <c r="G343" s="181"/>
      <c r="H343" s="181"/>
      <c r="I343" s="181"/>
      <c r="J343" s="181"/>
      <c r="K343" s="181"/>
      <c r="L343" s="181"/>
      <c r="M343" s="181"/>
      <c r="N343" s="181"/>
      <c r="O343" s="181"/>
      <c r="P343" s="181"/>
      <c r="Q343" s="181"/>
      <c r="R343" s="181"/>
      <c r="S343" s="181"/>
      <c r="T343" s="181"/>
      <c r="U343" s="181"/>
      <c r="V343" s="181"/>
      <c r="W343" s="181"/>
      <c r="X343" s="181"/>
      <c r="Y343" s="181"/>
      <c r="Z343" s="181"/>
      <c r="AA343" s="181"/>
    </row>
    <row r="344" spans="2:27" ht="15">
      <c r="B344" s="178"/>
      <c r="C344" s="181"/>
      <c r="D344" s="181"/>
      <c r="E344" s="181"/>
      <c r="F344" s="181"/>
      <c r="G344" s="181"/>
      <c r="H344" s="181"/>
      <c r="I344" s="181"/>
      <c r="J344" s="181"/>
      <c r="K344" s="181"/>
      <c r="L344" s="181"/>
      <c r="M344" s="181"/>
      <c r="N344" s="181"/>
      <c r="O344" s="181"/>
      <c r="P344" s="181"/>
      <c r="Q344" s="181"/>
      <c r="R344" s="181"/>
      <c r="S344" s="181"/>
      <c r="T344" s="181"/>
      <c r="U344" s="181"/>
      <c r="V344" s="181"/>
      <c r="W344" s="181"/>
      <c r="X344" s="181"/>
      <c r="Y344" s="181"/>
      <c r="Z344" s="181"/>
      <c r="AA344" s="181"/>
    </row>
    <row r="345" spans="2:27" ht="15">
      <c r="B345" s="178"/>
      <c r="C345" s="181"/>
      <c r="D345" s="181"/>
      <c r="E345" s="181"/>
      <c r="F345" s="181"/>
      <c r="G345" s="181"/>
      <c r="H345" s="181"/>
      <c r="I345" s="181"/>
      <c r="J345" s="181"/>
      <c r="K345" s="181"/>
      <c r="L345" s="181"/>
      <c r="M345" s="181"/>
      <c r="N345" s="181"/>
      <c r="O345" s="181"/>
      <c r="P345" s="181"/>
      <c r="Q345" s="181"/>
      <c r="R345" s="181"/>
      <c r="S345" s="181"/>
      <c r="T345" s="181"/>
      <c r="U345" s="181"/>
      <c r="V345" s="181"/>
      <c r="W345" s="181"/>
      <c r="X345" s="181"/>
      <c r="Y345" s="181"/>
      <c r="Z345" s="181"/>
      <c r="AA345" s="181"/>
    </row>
    <row r="346" spans="2:27" ht="15">
      <c r="B346" s="178"/>
      <c r="C346" s="181"/>
      <c r="D346" s="181"/>
      <c r="E346" s="181"/>
      <c r="F346" s="181"/>
      <c r="G346" s="181"/>
      <c r="H346" s="181"/>
      <c r="I346" s="181"/>
      <c r="J346" s="181"/>
      <c r="K346" s="181"/>
      <c r="L346" s="181"/>
      <c r="M346" s="181"/>
      <c r="N346" s="181"/>
      <c r="O346" s="181"/>
      <c r="P346" s="181"/>
      <c r="Q346" s="181"/>
      <c r="R346" s="181"/>
      <c r="S346" s="181"/>
      <c r="T346" s="181"/>
      <c r="U346" s="181"/>
      <c r="V346" s="181"/>
      <c r="W346" s="181"/>
      <c r="X346" s="181"/>
      <c r="Y346" s="181"/>
      <c r="Z346" s="181"/>
      <c r="AA346" s="181"/>
    </row>
    <row r="347" spans="2:27" ht="15">
      <c r="B347" s="178"/>
      <c r="C347" s="181"/>
      <c r="D347" s="181"/>
      <c r="E347" s="181"/>
      <c r="F347" s="181"/>
      <c r="G347" s="181"/>
      <c r="H347" s="181"/>
      <c r="I347" s="181"/>
      <c r="J347" s="181"/>
      <c r="K347" s="181"/>
      <c r="L347" s="181"/>
      <c r="M347" s="181"/>
      <c r="N347" s="181"/>
      <c r="O347" s="181"/>
      <c r="P347" s="181"/>
      <c r="Q347" s="181"/>
      <c r="R347" s="181"/>
      <c r="S347" s="181"/>
      <c r="T347" s="181"/>
      <c r="U347" s="181"/>
      <c r="V347" s="181"/>
      <c r="W347" s="181"/>
      <c r="X347" s="181"/>
      <c r="Y347" s="181"/>
      <c r="Z347" s="181"/>
      <c r="AA347" s="181"/>
    </row>
    <row r="348" spans="2:27" ht="15">
      <c r="B348" s="178"/>
      <c r="C348" s="181"/>
      <c r="D348" s="181"/>
      <c r="E348" s="181"/>
      <c r="F348" s="181"/>
      <c r="G348" s="181"/>
      <c r="H348" s="181"/>
      <c r="I348" s="181"/>
      <c r="J348" s="181"/>
      <c r="K348" s="181"/>
      <c r="L348" s="181"/>
      <c r="M348" s="181"/>
      <c r="N348" s="181"/>
      <c r="O348" s="181"/>
      <c r="P348" s="181"/>
      <c r="Q348" s="181"/>
      <c r="R348" s="181"/>
      <c r="S348" s="181"/>
      <c r="T348" s="181"/>
      <c r="U348" s="181"/>
      <c r="V348" s="181"/>
      <c r="W348" s="181"/>
      <c r="X348" s="181"/>
      <c r="Y348" s="181"/>
      <c r="Z348" s="181"/>
      <c r="AA348" s="181"/>
    </row>
    <row r="349" spans="2:27" ht="15">
      <c r="B349" s="178"/>
      <c r="C349" s="181"/>
      <c r="D349" s="181"/>
      <c r="E349" s="181"/>
      <c r="F349" s="181"/>
      <c r="G349" s="181"/>
      <c r="H349" s="181"/>
      <c r="I349" s="181"/>
      <c r="J349" s="181"/>
      <c r="K349" s="181"/>
      <c r="L349" s="181"/>
      <c r="M349" s="181"/>
      <c r="N349" s="181"/>
      <c r="O349" s="181"/>
      <c r="P349" s="181"/>
      <c r="Q349" s="181"/>
      <c r="R349" s="181"/>
      <c r="S349" s="181"/>
      <c r="T349" s="181"/>
      <c r="U349" s="181"/>
      <c r="V349" s="181"/>
      <c r="W349" s="181"/>
      <c r="X349" s="181"/>
      <c r="Y349" s="181"/>
      <c r="Z349" s="181"/>
      <c r="AA349" s="181"/>
    </row>
    <row r="350" spans="2:27" ht="15">
      <c r="B350" s="178"/>
      <c r="C350" s="181"/>
      <c r="D350" s="181"/>
      <c r="E350" s="181"/>
      <c r="F350" s="181"/>
      <c r="G350" s="181"/>
      <c r="H350" s="181"/>
      <c r="I350" s="181"/>
      <c r="J350" s="181"/>
      <c r="K350" s="181"/>
      <c r="L350" s="181"/>
      <c r="M350" s="181"/>
      <c r="N350" s="181"/>
      <c r="O350" s="181"/>
      <c r="P350" s="181"/>
      <c r="Q350" s="181"/>
      <c r="R350" s="181"/>
      <c r="S350" s="181"/>
      <c r="T350" s="181"/>
      <c r="U350" s="181"/>
      <c r="V350" s="181"/>
      <c r="W350" s="181"/>
      <c r="X350" s="181"/>
      <c r="Y350" s="181"/>
      <c r="Z350" s="181"/>
      <c r="AA350" s="181"/>
    </row>
    <row r="351" spans="2:27" ht="15">
      <c r="B351" s="178"/>
      <c r="C351" s="181"/>
      <c r="D351" s="181"/>
      <c r="E351" s="181"/>
      <c r="F351" s="181"/>
      <c r="G351" s="181"/>
      <c r="H351" s="181"/>
      <c r="I351" s="181"/>
      <c r="J351" s="181"/>
      <c r="K351" s="181"/>
      <c r="L351" s="181"/>
      <c r="M351" s="181"/>
      <c r="N351" s="181"/>
      <c r="O351" s="181"/>
      <c r="P351" s="181"/>
      <c r="Q351" s="181"/>
      <c r="R351" s="181"/>
      <c r="S351" s="181"/>
      <c r="T351" s="181"/>
      <c r="U351" s="181"/>
      <c r="V351" s="181"/>
      <c r="W351" s="181"/>
      <c r="X351" s="181"/>
      <c r="Y351" s="181"/>
      <c r="Z351" s="181"/>
      <c r="AA351" s="181"/>
    </row>
    <row r="352" spans="2:27" ht="15">
      <c r="B352" s="178"/>
      <c r="C352" s="181"/>
      <c r="D352" s="181"/>
      <c r="E352" s="181"/>
      <c r="F352" s="181"/>
      <c r="G352" s="181"/>
      <c r="H352" s="181"/>
      <c r="I352" s="181"/>
      <c r="J352" s="181"/>
      <c r="K352" s="181"/>
      <c r="L352" s="181"/>
      <c r="M352" s="181"/>
      <c r="N352" s="181"/>
      <c r="O352" s="181"/>
      <c r="P352" s="181"/>
      <c r="Q352" s="181"/>
      <c r="R352" s="181"/>
      <c r="S352" s="181"/>
      <c r="T352" s="181"/>
      <c r="U352" s="181"/>
      <c r="V352" s="181"/>
      <c r="W352" s="181"/>
      <c r="X352" s="181"/>
      <c r="Y352" s="181"/>
      <c r="Z352" s="181"/>
      <c r="AA352" s="181"/>
    </row>
    <row r="353" spans="2:27" ht="15">
      <c r="B353" s="178"/>
      <c r="C353" s="181"/>
      <c r="D353" s="181"/>
      <c r="E353" s="181"/>
      <c r="F353" s="181"/>
      <c r="G353" s="181"/>
      <c r="H353" s="181"/>
      <c r="I353" s="181"/>
      <c r="J353" s="181"/>
      <c r="K353" s="181"/>
      <c r="L353" s="181"/>
      <c r="M353" s="181"/>
      <c r="N353" s="181"/>
      <c r="O353" s="181"/>
      <c r="P353" s="181"/>
      <c r="Q353" s="181"/>
      <c r="R353" s="181"/>
      <c r="S353" s="181"/>
      <c r="T353" s="181"/>
      <c r="U353" s="181"/>
      <c r="V353" s="181"/>
      <c r="W353" s="181"/>
      <c r="X353" s="181"/>
      <c r="Y353" s="181"/>
      <c r="Z353" s="181"/>
      <c r="AA353" s="181"/>
    </row>
    <row r="354" spans="2:27" ht="15">
      <c r="B354" s="178"/>
      <c r="C354" s="181"/>
      <c r="D354" s="181"/>
      <c r="E354" s="181"/>
      <c r="F354" s="181"/>
      <c r="G354" s="181"/>
      <c r="H354" s="181"/>
      <c r="I354" s="181"/>
      <c r="J354" s="181"/>
      <c r="K354" s="181"/>
      <c r="L354" s="181"/>
      <c r="M354" s="181"/>
      <c r="N354" s="181"/>
      <c r="O354" s="181"/>
      <c r="P354" s="181"/>
      <c r="Q354" s="181"/>
      <c r="R354" s="181"/>
      <c r="S354" s="181"/>
      <c r="T354" s="181"/>
      <c r="U354" s="181"/>
      <c r="V354" s="181"/>
      <c r="W354" s="181"/>
      <c r="X354" s="181"/>
      <c r="Y354" s="181"/>
      <c r="Z354" s="181"/>
      <c r="AA354" s="181"/>
    </row>
    <row r="355" spans="2:27" ht="15">
      <c r="B355" s="178"/>
      <c r="C355" s="181"/>
      <c r="D355" s="181"/>
      <c r="E355" s="181"/>
      <c r="F355" s="181"/>
      <c r="G355" s="181"/>
      <c r="H355" s="181"/>
      <c r="I355" s="181"/>
      <c r="J355" s="181"/>
      <c r="K355" s="181"/>
      <c r="L355" s="181"/>
      <c r="M355" s="181"/>
      <c r="N355" s="181"/>
      <c r="O355" s="181"/>
      <c r="P355" s="181"/>
      <c r="Q355" s="181"/>
      <c r="R355" s="181"/>
      <c r="S355" s="181"/>
      <c r="T355" s="181"/>
      <c r="U355" s="181"/>
      <c r="V355" s="181"/>
      <c r="W355" s="181"/>
      <c r="X355" s="181"/>
      <c r="Y355" s="181"/>
      <c r="Z355" s="181"/>
      <c r="AA355" s="181"/>
    </row>
    <row r="356" spans="2:27" ht="15">
      <c r="B356" s="178"/>
      <c r="C356" s="181"/>
      <c r="D356" s="181"/>
      <c r="E356" s="181"/>
      <c r="F356" s="181"/>
      <c r="G356" s="181"/>
      <c r="H356" s="181"/>
      <c r="I356" s="181"/>
      <c r="J356" s="181"/>
      <c r="K356" s="181"/>
      <c r="L356" s="181"/>
      <c r="M356" s="181"/>
      <c r="N356" s="181"/>
      <c r="O356" s="181"/>
      <c r="P356" s="181"/>
      <c r="Q356" s="181"/>
      <c r="R356" s="181"/>
      <c r="S356" s="181"/>
      <c r="T356" s="181"/>
      <c r="U356" s="181"/>
      <c r="V356" s="181"/>
      <c r="W356" s="181"/>
      <c r="X356" s="181"/>
      <c r="Y356" s="181"/>
      <c r="Z356" s="181"/>
      <c r="AA356" s="181"/>
    </row>
    <row r="357" spans="2:27" ht="15">
      <c r="B357" s="178"/>
      <c r="C357" s="181"/>
      <c r="D357" s="181"/>
      <c r="E357" s="181"/>
      <c r="F357" s="181"/>
      <c r="G357" s="181"/>
      <c r="H357" s="181"/>
      <c r="I357" s="181"/>
      <c r="J357" s="181"/>
      <c r="K357" s="181"/>
      <c r="L357" s="181"/>
      <c r="M357" s="181"/>
      <c r="N357" s="181"/>
      <c r="O357" s="181"/>
      <c r="P357" s="181"/>
      <c r="Q357" s="181"/>
      <c r="R357" s="181"/>
      <c r="S357" s="181"/>
      <c r="T357" s="181"/>
      <c r="U357" s="181"/>
      <c r="V357" s="181"/>
      <c r="W357" s="181"/>
      <c r="X357" s="181"/>
      <c r="Y357" s="181"/>
      <c r="Z357" s="181"/>
      <c r="AA357" s="181"/>
    </row>
    <row r="358" spans="2:27" ht="15">
      <c r="B358" s="178"/>
      <c r="C358" s="181"/>
      <c r="D358" s="181"/>
      <c r="E358" s="181"/>
      <c r="F358" s="181"/>
      <c r="G358" s="181"/>
      <c r="H358" s="181"/>
      <c r="I358" s="181"/>
      <c r="J358" s="181"/>
      <c r="K358" s="181"/>
      <c r="L358" s="181"/>
      <c r="M358" s="181"/>
      <c r="N358" s="181"/>
      <c r="O358" s="181"/>
      <c r="P358" s="181"/>
      <c r="Q358" s="181"/>
      <c r="R358" s="181"/>
      <c r="S358" s="181"/>
      <c r="T358" s="181"/>
      <c r="U358" s="181"/>
      <c r="V358" s="181"/>
      <c r="W358" s="181"/>
      <c r="X358" s="181"/>
      <c r="Y358" s="181"/>
      <c r="Z358" s="181"/>
      <c r="AA358" s="181"/>
    </row>
    <row r="359" spans="2:27" ht="15">
      <c r="B359" s="178"/>
      <c r="C359" s="181"/>
      <c r="D359" s="181"/>
      <c r="E359" s="181"/>
      <c r="F359" s="181"/>
      <c r="G359" s="181"/>
      <c r="H359" s="181"/>
      <c r="I359" s="181"/>
      <c r="J359" s="181"/>
      <c r="K359" s="181"/>
      <c r="L359" s="181"/>
      <c r="M359" s="181"/>
      <c r="N359" s="181"/>
      <c r="O359" s="181"/>
      <c r="P359" s="181"/>
      <c r="Q359" s="181"/>
      <c r="R359" s="181"/>
      <c r="S359" s="181"/>
      <c r="T359" s="181"/>
      <c r="U359" s="181"/>
      <c r="V359" s="181"/>
      <c r="W359" s="181"/>
      <c r="X359" s="181"/>
      <c r="Y359" s="181"/>
      <c r="Z359" s="181"/>
      <c r="AA359" s="181"/>
    </row>
    <row r="360" spans="2:27" ht="15">
      <c r="B360" s="178"/>
      <c r="C360" s="181"/>
      <c r="D360" s="181"/>
      <c r="E360" s="181"/>
      <c r="F360" s="181"/>
      <c r="G360" s="181"/>
      <c r="H360" s="181"/>
      <c r="I360" s="181"/>
      <c r="J360" s="181"/>
      <c r="K360" s="181"/>
      <c r="L360" s="181"/>
      <c r="M360" s="181"/>
      <c r="N360" s="181"/>
      <c r="O360" s="181"/>
      <c r="P360" s="181"/>
      <c r="Q360" s="181"/>
      <c r="R360" s="181"/>
      <c r="S360" s="181"/>
      <c r="T360" s="181"/>
      <c r="U360" s="181"/>
      <c r="V360" s="181"/>
      <c r="W360" s="181"/>
      <c r="X360" s="181"/>
      <c r="Y360" s="181"/>
      <c r="Z360" s="181"/>
      <c r="AA360" s="181"/>
    </row>
    <row r="361" spans="2:27" ht="15">
      <c r="B361" s="178"/>
      <c r="C361" s="181"/>
      <c r="D361" s="181"/>
      <c r="E361" s="181"/>
      <c r="F361" s="181"/>
      <c r="G361" s="181"/>
      <c r="H361" s="181"/>
      <c r="I361" s="181"/>
      <c r="J361" s="181"/>
      <c r="K361" s="181"/>
      <c r="L361" s="181"/>
      <c r="M361" s="181"/>
      <c r="N361" s="181"/>
      <c r="O361" s="181"/>
      <c r="P361" s="181"/>
      <c r="Q361" s="181"/>
      <c r="R361" s="181"/>
      <c r="S361" s="181"/>
      <c r="T361" s="181"/>
      <c r="U361" s="181"/>
      <c r="V361" s="181"/>
      <c r="W361" s="181"/>
      <c r="X361" s="181"/>
      <c r="Y361" s="181"/>
      <c r="Z361" s="181"/>
      <c r="AA361" s="181"/>
    </row>
    <row r="362" spans="2:27" ht="15">
      <c r="B362" s="178"/>
      <c r="C362" s="181"/>
      <c r="D362" s="181"/>
      <c r="E362" s="181"/>
      <c r="F362" s="181"/>
      <c r="G362" s="181"/>
      <c r="H362" s="181"/>
      <c r="I362" s="181"/>
      <c r="J362" s="181"/>
      <c r="K362" s="181"/>
      <c r="L362" s="181"/>
      <c r="M362" s="181"/>
      <c r="N362" s="181"/>
      <c r="O362" s="181"/>
      <c r="P362" s="181"/>
      <c r="Q362" s="181"/>
      <c r="R362" s="181"/>
      <c r="S362" s="181"/>
      <c r="T362" s="181"/>
      <c r="U362" s="181"/>
      <c r="V362" s="181"/>
      <c r="W362" s="181"/>
      <c r="X362" s="181"/>
      <c r="Y362" s="181"/>
      <c r="Z362" s="181"/>
      <c r="AA362" s="181"/>
    </row>
    <row r="363" spans="2:27" ht="15">
      <c r="B363" s="178"/>
      <c r="C363" s="181"/>
      <c r="D363" s="181"/>
      <c r="E363" s="181"/>
      <c r="F363" s="181"/>
      <c r="G363" s="181"/>
      <c r="H363" s="181"/>
      <c r="I363" s="181"/>
      <c r="J363" s="181"/>
      <c r="K363" s="181"/>
      <c r="L363" s="181"/>
      <c r="M363" s="181"/>
      <c r="N363" s="181"/>
      <c r="O363" s="181"/>
      <c r="P363" s="181"/>
      <c r="Q363" s="181"/>
      <c r="R363" s="181"/>
      <c r="S363" s="181"/>
      <c r="T363" s="181"/>
      <c r="U363" s="181"/>
      <c r="V363" s="181"/>
      <c r="W363" s="181"/>
      <c r="X363" s="181"/>
      <c r="Y363" s="181"/>
      <c r="Z363" s="181"/>
      <c r="AA363" s="181"/>
    </row>
    <row r="364" spans="2:27" ht="15">
      <c r="B364" s="178"/>
      <c r="C364" s="181"/>
      <c r="D364" s="181"/>
      <c r="E364" s="181"/>
      <c r="F364" s="181"/>
      <c r="G364" s="181"/>
      <c r="H364" s="181"/>
      <c r="I364" s="181"/>
      <c r="J364" s="181"/>
      <c r="K364" s="181"/>
      <c r="L364" s="181"/>
      <c r="M364" s="181"/>
      <c r="N364" s="181"/>
      <c r="O364" s="181"/>
      <c r="P364" s="181"/>
      <c r="Q364" s="181"/>
      <c r="R364" s="181"/>
      <c r="S364" s="181"/>
      <c r="T364" s="181"/>
      <c r="U364" s="181"/>
      <c r="V364" s="181"/>
      <c r="W364" s="181"/>
      <c r="X364" s="181"/>
      <c r="Y364" s="181"/>
      <c r="Z364" s="181"/>
      <c r="AA364" s="181"/>
    </row>
    <row r="365" spans="2:27" ht="15">
      <c r="B365" s="178"/>
      <c r="C365" s="181"/>
      <c r="D365" s="181"/>
      <c r="E365" s="181"/>
      <c r="F365" s="181"/>
      <c r="G365" s="181"/>
      <c r="H365" s="181"/>
      <c r="I365" s="181"/>
      <c r="J365" s="181"/>
      <c r="K365" s="181"/>
      <c r="L365" s="181"/>
      <c r="M365" s="181"/>
      <c r="N365" s="181"/>
      <c r="O365" s="181"/>
      <c r="P365" s="181"/>
      <c r="Q365" s="181"/>
      <c r="R365" s="181"/>
      <c r="S365" s="181"/>
      <c r="T365" s="181"/>
      <c r="U365" s="181"/>
      <c r="V365" s="181"/>
      <c r="W365" s="181"/>
      <c r="X365" s="181"/>
      <c r="Y365" s="181"/>
      <c r="Z365" s="181"/>
      <c r="AA365" s="181"/>
    </row>
    <row r="366" spans="2:27" ht="15">
      <c r="B366" s="178"/>
      <c r="C366" s="181"/>
      <c r="D366" s="181"/>
      <c r="E366" s="181"/>
      <c r="F366" s="181"/>
      <c r="G366" s="181"/>
      <c r="H366" s="181"/>
      <c r="I366" s="181"/>
      <c r="J366" s="181"/>
      <c r="K366" s="181"/>
      <c r="L366" s="181"/>
      <c r="M366" s="181"/>
      <c r="N366" s="181"/>
      <c r="O366" s="181"/>
      <c r="P366" s="181"/>
      <c r="Q366" s="181"/>
      <c r="R366" s="181"/>
      <c r="S366" s="181"/>
      <c r="T366" s="181"/>
      <c r="U366" s="181"/>
      <c r="V366" s="181"/>
      <c r="W366" s="181"/>
      <c r="X366" s="181"/>
      <c r="Y366" s="181"/>
      <c r="Z366" s="181"/>
      <c r="AA366" s="181"/>
    </row>
    <row r="367" spans="2:27" ht="15">
      <c r="B367" s="178"/>
      <c r="C367" s="181"/>
      <c r="D367" s="181"/>
      <c r="E367" s="181"/>
      <c r="F367" s="181"/>
      <c r="G367" s="181"/>
      <c r="H367" s="181"/>
      <c r="I367" s="181"/>
      <c r="J367" s="181"/>
      <c r="K367" s="181"/>
      <c r="L367" s="181"/>
      <c r="M367" s="181"/>
      <c r="N367" s="181"/>
      <c r="O367" s="181"/>
      <c r="P367" s="181"/>
      <c r="Q367" s="181"/>
      <c r="R367" s="181"/>
      <c r="S367" s="181"/>
      <c r="T367" s="181"/>
      <c r="U367" s="181"/>
      <c r="V367" s="181"/>
      <c r="W367" s="181"/>
      <c r="X367" s="181"/>
      <c r="Y367" s="181"/>
      <c r="Z367" s="181"/>
      <c r="AA367" s="181"/>
    </row>
    <row r="368" spans="2:27" ht="15">
      <c r="B368" s="178"/>
      <c r="C368" s="181"/>
      <c r="D368" s="181"/>
      <c r="E368" s="181"/>
      <c r="F368" s="181"/>
      <c r="G368" s="181"/>
      <c r="H368" s="181"/>
      <c r="I368" s="181"/>
      <c r="J368" s="181"/>
      <c r="K368" s="181"/>
      <c r="L368" s="181"/>
      <c r="M368" s="181"/>
      <c r="N368" s="181"/>
      <c r="O368" s="181"/>
      <c r="P368" s="181"/>
      <c r="Q368" s="181"/>
      <c r="R368" s="181"/>
      <c r="S368" s="181"/>
      <c r="T368" s="181"/>
      <c r="U368" s="181"/>
      <c r="V368" s="181"/>
      <c r="W368" s="181"/>
      <c r="X368" s="181"/>
      <c r="Y368" s="181"/>
      <c r="Z368" s="181"/>
      <c r="AA368" s="181"/>
    </row>
    <row r="369" spans="2:27" ht="15">
      <c r="B369" s="178"/>
      <c r="C369" s="181"/>
      <c r="D369" s="181"/>
      <c r="E369" s="181"/>
      <c r="F369" s="181"/>
      <c r="G369" s="181"/>
      <c r="H369" s="181"/>
      <c r="I369" s="181"/>
      <c r="J369" s="181"/>
      <c r="K369" s="181"/>
      <c r="L369" s="181"/>
      <c r="M369" s="181"/>
      <c r="N369" s="181"/>
      <c r="O369" s="181"/>
      <c r="P369" s="181"/>
      <c r="Q369" s="181"/>
      <c r="R369" s="181"/>
      <c r="S369" s="181"/>
      <c r="T369" s="181"/>
      <c r="U369" s="181"/>
      <c r="V369" s="181"/>
      <c r="W369" s="181"/>
      <c r="X369" s="181"/>
      <c r="Y369" s="181"/>
      <c r="Z369" s="181"/>
      <c r="AA369" s="181"/>
    </row>
    <row r="370" spans="2:27" ht="15">
      <c r="B370" s="178"/>
      <c r="C370" s="181"/>
      <c r="D370" s="181"/>
      <c r="E370" s="181"/>
      <c r="F370" s="181"/>
      <c r="G370" s="181"/>
      <c r="H370" s="181"/>
      <c r="I370" s="181"/>
      <c r="J370" s="181"/>
      <c r="K370" s="181"/>
      <c r="L370" s="181"/>
      <c r="M370" s="181"/>
      <c r="N370" s="181"/>
      <c r="O370" s="181"/>
      <c r="P370" s="181"/>
      <c r="Q370" s="181"/>
      <c r="R370" s="181"/>
      <c r="S370" s="181"/>
      <c r="T370" s="181"/>
      <c r="U370" s="181"/>
      <c r="V370" s="181"/>
      <c r="W370" s="181"/>
      <c r="X370" s="181"/>
      <c r="Y370" s="181"/>
      <c r="Z370" s="181"/>
      <c r="AA370" s="181"/>
    </row>
  </sheetData>
  <mergeCells count="66">
    <mergeCell ref="M5:M6"/>
    <mergeCell ref="N5:N6"/>
    <mergeCell ref="D5:D6"/>
    <mergeCell ref="E5:E6"/>
    <mergeCell ref="F5:F6"/>
    <mergeCell ref="G5:G6"/>
    <mergeCell ref="E15:G15"/>
    <mergeCell ref="E7:G7"/>
    <mergeCell ref="B79:C79"/>
    <mergeCell ref="B83:C83"/>
    <mergeCell ref="B86:C86"/>
    <mergeCell ref="B75:C78"/>
    <mergeCell ref="B81:C81"/>
    <mergeCell ref="B82:C82"/>
    <mergeCell ref="B84:C84"/>
    <mergeCell ref="B85:C85"/>
    <mergeCell ref="E52:E53"/>
    <mergeCell ref="G52:G53"/>
    <mergeCell ref="F52:F53"/>
    <mergeCell ref="D52:D53"/>
    <mergeCell ref="B4:C6"/>
    <mergeCell ref="B37:C37"/>
    <mergeCell ref="B52:B53"/>
    <mergeCell ref="B49:C49"/>
    <mergeCell ref="C52:C53"/>
    <mergeCell ref="Z5:Z6"/>
    <mergeCell ref="AA5:AA6"/>
    <mergeCell ref="R4:AA4"/>
    <mergeCell ref="Q5:Q6"/>
    <mergeCell ref="I4:Q4"/>
    <mergeCell ref="R5:R6"/>
    <mergeCell ref="S5:S6"/>
    <mergeCell ref="T5:T6"/>
    <mergeCell ref="U5:U6"/>
    <mergeCell ref="V5:V6"/>
    <mergeCell ref="W5:W6"/>
    <mergeCell ref="X5:X6"/>
    <mergeCell ref="Y5:Y6"/>
    <mergeCell ref="O5:O6"/>
    <mergeCell ref="P5:P6"/>
    <mergeCell ref="L5:L6"/>
    <mergeCell ref="E4:G4"/>
    <mergeCell ref="H5:H6"/>
    <mergeCell ref="I5:I6"/>
    <mergeCell ref="J5:J6"/>
    <mergeCell ref="K5:K6"/>
    <mergeCell ref="H52:H53"/>
    <mergeCell ref="I52:I53"/>
    <mergeCell ref="J52:J53"/>
    <mergeCell ref="K52:K53"/>
    <mergeCell ref="L52:L53"/>
    <mergeCell ref="M52:M53"/>
    <mergeCell ref="N52:N53"/>
    <mergeCell ref="O52:O53"/>
    <mergeCell ref="P52:P53"/>
    <mergeCell ref="Q52:Q53"/>
    <mergeCell ref="R52:R53"/>
    <mergeCell ref="S52:S53"/>
    <mergeCell ref="T52:T53"/>
    <mergeCell ref="U52:U53"/>
    <mergeCell ref="V52:V53"/>
    <mergeCell ref="W52:W53"/>
    <mergeCell ref="X52:X53"/>
    <mergeCell ref="Y52:Y53"/>
    <mergeCell ref="Z52:Z53"/>
    <mergeCell ref="AA52:AA53"/>
  </mergeCells>
  <conditionalFormatting sqref="P83">
    <cfRule type="cellIs" dxfId="5" priority="6" operator="greaterThanOrEqual">
      <formula>0</formula>
    </cfRule>
  </conditionalFormatting>
  <conditionalFormatting sqref="P86">
    <cfRule type="cellIs" dxfId="4" priority="5" operator="greaterThanOrEqual">
      <formula>0</formula>
    </cfRule>
  </conditionalFormatting>
  <conditionalFormatting sqref="E83:O83">
    <cfRule type="cellIs" dxfId="3" priority="4" operator="greaterThanOrEqual">
      <formula>0</formula>
    </cfRule>
  </conditionalFormatting>
  <conditionalFormatting sqref="Q83">
    <cfRule type="cellIs" dxfId="2" priority="3" operator="greaterThanOrEqual">
      <formula>0</formula>
    </cfRule>
  </conditionalFormatting>
  <conditionalFormatting sqref="E86:O86">
    <cfRule type="cellIs" dxfId="1" priority="2" operator="greaterThanOrEqual">
      <formula>0</formula>
    </cfRule>
  </conditionalFormatting>
  <conditionalFormatting sqref="Q86:AA86">
    <cfRule type="cellIs" dxfId="0" priority="1" operator="greaterThanOrEqual">
      <formula>0</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10</vt:i4>
      </vt:variant>
      <vt:variant>
        <vt:lpstr>Plages nommées</vt:lpstr>
      </vt:variant>
      <vt:variant>
        <vt:i4>5</vt:i4>
      </vt:variant>
    </vt:vector>
  </HeadingPairs>
  <TitlesOfParts>
    <vt:vector size="15" baseType="lpstr">
      <vt:lpstr>0-Introduction </vt:lpstr>
      <vt:lpstr>1-CONCEPTION DE L'OUTIL</vt:lpstr>
      <vt:lpstr>2-PRESENTATION DU PROJET</vt:lpstr>
      <vt:lpstr>3-DONNEES DE BASE</vt:lpstr>
      <vt:lpstr>4-RESULTATS AVEC TVA</vt:lpstr>
      <vt:lpstr>5-RESULTAT SANS TVA</vt:lpstr>
      <vt:lpstr>6-ANALYSE DE SENSIBILITE</vt:lpstr>
      <vt:lpstr>7-Calcul de base AVEC   TVA</vt:lpstr>
      <vt:lpstr>8-Calcul de base SANS TVA</vt:lpstr>
      <vt:lpstr>9-Cout  projet avec et sans TVA</vt:lpstr>
      <vt:lpstr>'1-CONCEPTION DE L''OUTIL'!Zone_d_impression</vt:lpstr>
      <vt:lpstr>'3-DONNEES DE BASE'!Zone_d_impression</vt:lpstr>
      <vt:lpstr>'4-RESULTATS AVEC TVA'!Zone_d_impression</vt:lpstr>
      <vt:lpstr>'5-RESULTAT SANS TVA'!Zone_d_impression</vt:lpstr>
      <vt:lpstr>'6-ANALYSE DE SENSIBILITE'!Zone_d_impression</vt:lpstr>
    </vt:vector>
  </TitlesOfParts>
  <Company>PL-Consult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Lattemann</dc:creator>
  <cp:lastModifiedBy>Baccara Hassan</cp:lastModifiedBy>
  <cp:lastPrinted>2020-10-01T07:45:55Z</cp:lastPrinted>
  <dcterms:created xsi:type="dcterms:W3CDTF">2006-07-02T05:47:43Z</dcterms:created>
  <dcterms:modified xsi:type="dcterms:W3CDTF">2020-10-20T14:09:15Z</dcterms:modified>
</cp:coreProperties>
</file>